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D:\DU LIEU LAN ANH\1. LAN ANH_QLNS\VU LAN ANH\VU LAN ANH 2026\14. Quyết toán năm 2025\12. Công khai QT 2025\Năm 2025\"/>
    </mc:Choice>
  </mc:AlternateContent>
  <xr:revisionPtr revIDLastSave="0" documentId="8_{1CE67768-15F3-48C0-917B-A95F3C3A4206}" xr6:coauthVersionLast="47" xr6:coauthVersionMax="47" xr10:uidLastSave="{00000000-0000-0000-0000-000000000000}"/>
  <bookViews>
    <workbookView xWindow="-120" yWindow="-120" windowWidth="29040" windowHeight="15840" tabRatio="895" firstSheet="5" activeTab="5" xr2:uid="{00000000-000D-0000-FFFF-FFFF00000000}"/>
  </bookViews>
  <sheets>
    <sheet name="PL tong hop TT342" sheetId="74" state="hidden" r:id="rId1"/>
    <sheet name="PL" sheetId="141" state="hidden" r:id="rId2"/>
    <sheet name="Sheet1" sheetId="131" state="hidden" r:id="rId3"/>
    <sheet name="DM biểu TT342" sheetId="142" state="hidden" r:id="rId4"/>
    <sheet name="DM biểu NĐ31" sheetId="151" state="hidden" r:id="rId5"/>
    <sheet name="48_NĐ31" sheetId="75" r:id="rId6"/>
    <sheet name="5.2" sheetId="76" state="hidden" r:id="rId7"/>
    <sheet name="50_NĐ31" sheetId="77" r:id="rId8"/>
    <sheet name="51_NĐ31" sheetId="78" r:id="rId9"/>
    <sheet name="52_NĐ31" sheetId="79" r:id="rId10"/>
    <sheet name="5.6" sheetId="80" state="hidden" r:id="rId11"/>
    <sheet name="54_NĐ31" sheetId="81" r:id="rId12"/>
    <sheet name="55_NĐ31" sheetId="82" r:id="rId13"/>
    <sheet name="56_NĐ31" sheetId="83" r:id="rId14"/>
    <sheet name="5.11" sheetId="85" state="hidden" r:id="rId15"/>
    <sheet name="5.12" sheetId="86" state="hidden" r:id="rId16"/>
    <sheet name="5.13" sheetId="87" state="hidden" r:id="rId17"/>
    <sheet name="57_NĐ31" sheetId="84" r:id="rId18"/>
    <sheet name="61_NĐ31" sheetId="88" r:id="rId19"/>
    <sheet name="5.14.1" sheetId="123" state="hidden" r:id="rId20"/>
    <sheet name="5.14.2" sheetId="125" state="hidden" r:id="rId21"/>
    <sheet name="61.2" sheetId="145" state="hidden" r:id="rId22"/>
    <sheet name="62_NĐ31" sheetId="89" r:id="rId23"/>
    <sheet name="62.1_NĐ31" sheetId="152" r:id="rId24"/>
    <sheet name="62.2_NĐ31" sheetId="153" r:id="rId25"/>
    <sheet name="62.1" sheetId="147" state="hidden" r:id="rId26"/>
    <sheet name="63_NĐ31" sheetId="90" state="hidden" r:id="rId27"/>
    <sheet name="64_NĐ31" sheetId="91" r:id="rId28"/>
    <sheet name="60_TT342" sheetId="58" r:id="rId29"/>
    <sheet name="61_TT342" sheetId="59" r:id="rId30"/>
    <sheet name="62_TT342" sheetId="121" r:id="rId31"/>
    <sheet name="5.22 (1)" sheetId="132" state="hidden" r:id="rId32"/>
    <sheet name="63_TT342" sheetId="61" r:id="rId33"/>
    <sheet name="64_TT342" sheetId="62" r:id="rId34"/>
    <sheet name="65_TT342" sheetId="148" r:id="rId35"/>
    <sheet name="65A_TT342" sheetId="63" state="hidden" r:id="rId36"/>
    <sheet name="65B_TT342" sheetId="146" state="hidden" r:id="rId37"/>
    <sheet name="66_TT342" sheetId="64" state="hidden" r:id="rId38"/>
    <sheet name="67_TT342" sheetId="65" state="hidden" r:id="rId39"/>
    <sheet name="68_T342" sheetId="66" state="hidden" r:id="rId40"/>
    <sheet name="69_TT342" sheetId="67" state="hidden" r:id="rId41"/>
    <sheet name="Phụ biểu số 01" sheetId="133" r:id="rId42"/>
    <sheet name="Phụ biểu số 02" sheetId="134" r:id="rId43"/>
    <sheet name="BC Thu 2025" sheetId="143" state="hidden" r:id="rId44"/>
    <sheet name="MS 03" sheetId="136" state="hidden" r:id="rId45"/>
    <sheet name="MS 02" sheetId="135" state="hidden" r:id="rId46"/>
    <sheet name="MS 04" sheetId="137" state="hidden" r:id="rId47"/>
    <sheet name="Phụ biểu số 03" sheetId="138" r:id="rId48"/>
    <sheet name="MS 05 (2)" sheetId="149" state="hidden" r:id="rId49"/>
    <sheet name="NĐ 238_MS05(2)" sheetId="150" state="hidden" r:id="rId50"/>
    <sheet name="MS 06" sheetId="139" state="hidden" r:id="rId51"/>
    <sheet name="MS 07" sheetId="140" state="hidden" r:id="rId52"/>
    <sheet name="CÁC CĐGD" sheetId="126" state="hidden" r:id="rId53"/>
    <sheet name="5.31" sheetId="99" state="hidden" r:id="rId54"/>
    <sheet name="5.32" sheetId="124" state="hidden" r:id="rId55"/>
    <sheet name="BSMT" sheetId="130" state="hidden" r:id="rId56"/>
    <sheet name="Vay-cho vay" sheetId="119"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_xlnm._FilterDatabase" localSheetId="22" hidden="1">'62_NĐ31'!$A$12:$O$37</definedName>
    <definedName name="_xlnm._FilterDatabase" localSheetId="26" hidden="1">'63_NĐ31'!$A$9:$D$16</definedName>
    <definedName name="_xlnm._FilterDatabase" localSheetId="32" hidden="1">'63_TT342'!#REF!</definedName>
    <definedName name="_xlnm._FilterDatabase" localSheetId="33" hidden="1">'64_TT342'!#REF!</definedName>
    <definedName name="_xlnm._FilterDatabase" localSheetId="36" hidden="1">'65B_TT342'!$A$13:$O$172</definedName>
    <definedName name="_xlnm._FilterDatabase" localSheetId="0" hidden="1">'PL tong hop TT342'!$A$4:$E$101</definedName>
    <definedName name="page_total" localSheetId="33">'64_TT342'!#REF!</definedName>
    <definedName name="_xlnm.Print_Area" localSheetId="5">'48_NĐ31'!$A$1:$H$37</definedName>
    <definedName name="_xlnm.Print_Area" localSheetId="19">'5.14.1'!$A$1:$W$48</definedName>
    <definedName name="_xlnm.Print_Area" localSheetId="9">'52_NĐ31'!$A$1:$M$51</definedName>
    <definedName name="_xlnm.Print_Area" localSheetId="12">'55_NĐ31'!$A$1:$S$38</definedName>
    <definedName name="_xlnm.Print_Area" localSheetId="17">'57_NĐ31'!$A$1:$K$30</definedName>
    <definedName name="_xlnm.Print_Area" localSheetId="28">'60_TT342'!$A$1:$AC$30</definedName>
    <definedName name="_xlnm.Print_Area" localSheetId="18">'61_NĐ31'!$A$1:$AG$16</definedName>
    <definedName name="_xlnm.Print_Area" localSheetId="23">'62.1_NĐ31'!$A$1:$N$15</definedName>
    <definedName name="_xlnm.Print_Area" localSheetId="24">'62.2_NĐ31'!$A$1:$N$42</definedName>
    <definedName name="_xlnm.Print_Area" localSheetId="22">'62_NĐ31'!$A$1:$N$59</definedName>
    <definedName name="_xlnm.Print_Area" localSheetId="30">'62_TT342'!$A$1:$I$93</definedName>
    <definedName name="_xlnm.Print_Area" localSheetId="32">'63_TT342'!$A$1:$H$356</definedName>
    <definedName name="_xlnm.Print_Area" localSheetId="34">'65_TT342'!$A$1:$I$200</definedName>
    <definedName name="_xlnm.Print_Area" localSheetId="36">'65B_TT342'!$A$1:$O$144</definedName>
    <definedName name="_xlnm.Print_Area" localSheetId="37">'66_TT342'!$A$1:$M$33</definedName>
    <definedName name="_xlnm.Print_Area" localSheetId="38">'67_TT342'!$A$1:$E$33</definedName>
    <definedName name="_xlnm.Print_Area" localSheetId="39">'68_T342'!$A$1:$G$22</definedName>
    <definedName name="_xlnm.Print_Area" localSheetId="45">'MS 02'!$A$1:$J$72</definedName>
    <definedName name="_xlnm.Print_Area" localSheetId="48">'MS 05 (2)'!$A$1:$AR$175</definedName>
    <definedName name="_xlnm.Print_Area" localSheetId="49">'NĐ 238_MS05(2)'!$M$10:$W$23</definedName>
    <definedName name="_xlnm.Print_Area" localSheetId="42">'Phụ biểu số 02'!$A$1:$F$70</definedName>
    <definedName name="_xlnm.Print_Area" localSheetId="47">'Phụ biểu số 03'!$A$1:$AR$184</definedName>
    <definedName name="_xlnm.Print_Titles" localSheetId="53">'5.31'!$5:$7</definedName>
    <definedName name="_xlnm.Print_Titles" localSheetId="54">'5.32'!$4:$8</definedName>
    <definedName name="_xlnm.Print_Titles" localSheetId="10">'5.6'!$5:$7</definedName>
    <definedName name="_xlnm.Print_Titles" localSheetId="8">'51_NĐ31'!$6:$7</definedName>
    <definedName name="_xlnm.Print_Titles" localSheetId="11">'54_NĐ31'!$6:$9</definedName>
    <definedName name="_xlnm.Print_Titles" localSheetId="12">'55_NĐ31'!$6:$7</definedName>
    <definedName name="_xlnm.Print_Titles" localSheetId="13">'56_NĐ31'!$6:$8</definedName>
    <definedName name="_xlnm.Print_Titles" localSheetId="17">'57_NĐ31'!$6:$8</definedName>
    <definedName name="_xlnm.Print_Titles" localSheetId="29">'61_TT342'!$6:$8</definedName>
    <definedName name="_xlnm.Print_Titles" localSheetId="22">'62_NĐ31'!$6:$9</definedName>
    <definedName name="_xlnm.Print_Titles" localSheetId="30">'62_TT342'!$5:$7</definedName>
    <definedName name="_xlnm.Print_Titles" localSheetId="26">'63_NĐ31'!$6:$8</definedName>
    <definedName name="_xlnm.Print_Titles" localSheetId="32">'63_TT342'!$4:$5</definedName>
    <definedName name="_xlnm.Print_Titles" localSheetId="33">'64_TT342'!$4:$5</definedName>
    <definedName name="_xlnm.Print_Titles" localSheetId="34">'65_TT342'!$5:$5</definedName>
    <definedName name="_xlnm.Print_Titles" localSheetId="36">'65B_TT342'!$10:$10</definedName>
    <definedName name="_xlnm.Print_Titles" localSheetId="37">'66_TT342'!$5:$7</definedName>
    <definedName name="_xlnm.Print_Titles" localSheetId="45">'MS 02'!$5:$7</definedName>
    <definedName name="_xlnm.Print_Titles" localSheetId="41">'Phụ biểu số 01'!$5:$7</definedName>
    <definedName name="_xlnm.Print_Titles" localSheetId="42">'Phụ biểu số 02'!$5:$6</definedName>
    <definedName name="_xlnm.Print_Titles" localSheetId="47">'Phụ biểu số 03'!$5:$7</definedName>
    <definedName name="_xlnm.Print_Titles" localSheetId="0">'PL tong hop TT342'!$4:$4</definedName>
    <definedName name="_xlnm.Print_Titles">#N/A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33" l="1"/>
  <c r="AC4" i="138"/>
  <c r="S4" i="138"/>
  <c r="B4" i="138"/>
  <c r="AG145" i="138"/>
  <c r="AR145" i="138"/>
  <c r="S145" i="138"/>
  <c r="M145" i="138"/>
  <c r="L145" i="138"/>
  <c r="E59" i="134"/>
  <c r="S147" i="138"/>
  <c r="S148" i="138"/>
  <c r="M147" i="138"/>
  <c r="L147" i="138" s="1"/>
  <c r="M148" i="138"/>
  <c r="AR148" i="138" s="1"/>
  <c r="O149" i="138"/>
  <c r="AG133" i="138"/>
  <c r="AG134" i="138"/>
  <c r="AG135" i="138"/>
  <c r="AG136" i="138"/>
  <c r="AG137" i="138"/>
  <c r="AG139" i="138"/>
  <c r="AG140" i="138"/>
  <c r="AG141" i="138"/>
  <c r="AG144" i="138"/>
  <c r="AG151" i="138"/>
  <c r="AG152" i="138"/>
  <c r="AG153" i="138"/>
  <c r="AG154" i="138"/>
  <c r="AG155" i="138"/>
  <c r="AG156" i="138"/>
  <c r="AG158" i="138"/>
  <c r="AG159" i="138"/>
  <c r="AG161" i="138"/>
  <c r="AG162" i="138"/>
  <c r="AG163" i="138"/>
  <c r="AG164" i="138"/>
  <c r="AG166" i="138"/>
  <c r="AG167" i="138"/>
  <c r="AG168" i="138"/>
  <c r="AG170" i="138"/>
  <c r="AG171" i="138"/>
  <c r="AG172" i="138"/>
  <c r="AG173" i="138"/>
  <c r="AG174" i="138"/>
  <c r="AG132" i="138"/>
  <c r="S135" i="138"/>
  <c r="S136" i="138"/>
  <c r="S137" i="138"/>
  <c r="S139" i="138"/>
  <c r="S140" i="138"/>
  <c r="S141" i="138"/>
  <c r="S142" i="138"/>
  <c r="S143" i="138"/>
  <c r="S144" i="138"/>
  <c r="S146" i="138"/>
  <c r="S149" i="138"/>
  <c r="S150" i="138"/>
  <c r="S151" i="138"/>
  <c r="S152" i="138"/>
  <c r="S153" i="138"/>
  <c r="S154" i="138"/>
  <c r="S155" i="138"/>
  <c r="S156" i="138"/>
  <c r="S157" i="138"/>
  <c r="S158" i="138"/>
  <c r="S159" i="138"/>
  <c r="S160" i="138"/>
  <c r="S161" i="138"/>
  <c r="S162" i="138"/>
  <c r="S163" i="138"/>
  <c r="S164" i="138"/>
  <c r="S165" i="138"/>
  <c r="S166" i="138"/>
  <c r="S167" i="138"/>
  <c r="S168" i="138"/>
  <c r="S169" i="138"/>
  <c r="S170" i="138"/>
  <c r="S171" i="138"/>
  <c r="S172" i="138"/>
  <c r="S173" i="138"/>
  <c r="S174" i="138"/>
  <c r="AD155" i="138"/>
  <c r="AD156" i="138"/>
  <c r="AD157" i="138"/>
  <c r="AD158" i="138"/>
  <c r="AD159" i="138"/>
  <c r="AD160" i="138"/>
  <c r="AD161" i="138"/>
  <c r="AD162" i="138"/>
  <c r="AD163" i="138"/>
  <c r="AD164" i="138"/>
  <c r="AD165" i="138"/>
  <c r="AD166" i="138"/>
  <c r="AD167" i="138"/>
  <c r="AD168" i="138"/>
  <c r="AD169" i="138"/>
  <c r="AD171" i="138"/>
  <c r="AD172" i="138"/>
  <c r="AD173" i="138"/>
  <c r="N131" i="138"/>
  <c r="Q131" i="138"/>
  <c r="T131" i="138"/>
  <c r="U131" i="138"/>
  <c r="V131" i="138"/>
  <c r="W131" i="138"/>
  <c r="X131" i="138"/>
  <c r="Y131" i="138"/>
  <c r="Z131" i="138"/>
  <c r="AA131" i="138"/>
  <c r="AB131" i="138"/>
  <c r="AE131" i="138"/>
  <c r="AH131" i="138"/>
  <c r="AI131" i="138"/>
  <c r="AJ131" i="138"/>
  <c r="AK131" i="138"/>
  <c r="AL131" i="138"/>
  <c r="AM131" i="138"/>
  <c r="AN131" i="138"/>
  <c r="AO131" i="138"/>
  <c r="AP131" i="138"/>
  <c r="AD141" i="138"/>
  <c r="AD142" i="138"/>
  <c r="AD143" i="138"/>
  <c r="AD144" i="138"/>
  <c r="AD146" i="138"/>
  <c r="AD149" i="138"/>
  <c r="AD150" i="138"/>
  <c r="AD152" i="138"/>
  <c r="AD153" i="138"/>
  <c r="AD154" i="138"/>
  <c r="AD139" i="138"/>
  <c r="AD133" i="138"/>
  <c r="AD134" i="138"/>
  <c r="AD135" i="138"/>
  <c r="AD136" i="138"/>
  <c r="AD137" i="138"/>
  <c r="AD132" i="138"/>
  <c r="AC138" i="138"/>
  <c r="AC131" i="138" s="1"/>
  <c r="L148" i="138" l="1"/>
  <c r="AR147" i="138"/>
  <c r="S138" i="138"/>
  <c r="AG138" i="138"/>
  <c r="M150" i="138"/>
  <c r="L150" i="138" s="1"/>
  <c r="AQ150" i="138" s="1"/>
  <c r="AG150" i="138" s="1"/>
  <c r="P149" i="138"/>
  <c r="M149" i="138"/>
  <c r="O146" i="138"/>
  <c r="M146" i="138" s="1"/>
  <c r="R146" i="138"/>
  <c r="R140" i="138"/>
  <c r="M135" i="138"/>
  <c r="L135" i="138" s="1"/>
  <c r="P140" i="138"/>
  <c r="P144" i="138"/>
  <c r="L144" i="138" s="1"/>
  <c r="M143" i="138"/>
  <c r="L143" i="138" s="1"/>
  <c r="AQ143" i="138" s="1"/>
  <c r="AG143" i="138" s="1"/>
  <c r="M142" i="138"/>
  <c r="L142" i="138" s="1"/>
  <c r="AQ142" i="138" s="1"/>
  <c r="AG142" i="138" s="1"/>
  <c r="M141" i="138"/>
  <c r="M140" i="138"/>
  <c r="M139" i="138"/>
  <c r="L139" i="138" s="1"/>
  <c r="O138" i="138"/>
  <c r="M137" i="138"/>
  <c r="L137" i="138" s="1"/>
  <c r="M136" i="138"/>
  <c r="L136" i="138" s="1"/>
  <c r="O131" i="138" l="1"/>
  <c r="P146" i="138"/>
  <c r="L146" i="138" s="1"/>
  <c r="AQ146" i="138" s="1"/>
  <c r="AG146" i="138" s="1"/>
  <c r="L149" i="138"/>
  <c r="M138" i="138"/>
  <c r="L140" i="138"/>
  <c r="V27" i="150"/>
  <c r="D58" i="150"/>
  <c r="D57" i="150"/>
  <c r="D56" i="150"/>
  <c r="D55" i="150"/>
  <c r="D52" i="150" s="1"/>
  <c r="D38" i="150" s="1"/>
  <c r="D54" i="150"/>
  <c r="D53" i="150"/>
  <c r="H52" i="150"/>
  <c r="G52" i="150"/>
  <c r="F52" i="150"/>
  <c r="E52" i="150"/>
  <c r="C52" i="150"/>
  <c r="D41" i="150"/>
  <c r="H39" i="150"/>
  <c r="G39" i="150"/>
  <c r="G38" i="150" s="1"/>
  <c r="F39" i="150"/>
  <c r="F38" i="150" s="1"/>
  <c r="E39" i="150"/>
  <c r="D39" i="150"/>
  <c r="C39" i="150"/>
  <c r="C38" i="150" s="1"/>
  <c r="H38" i="150"/>
  <c r="E38" i="150"/>
  <c r="D37" i="150"/>
  <c r="F37" i="150" s="1"/>
  <c r="C37" i="150"/>
  <c r="B2" i="150" s="1"/>
  <c r="D36" i="150"/>
  <c r="F36" i="150" s="1"/>
  <c r="C36" i="150"/>
  <c r="B5" i="150" s="1"/>
  <c r="J35" i="150"/>
  <c r="D35" i="150"/>
  <c r="C35" i="150"/>
  <c r="H34" i="150"/>
  <c r="G34" i="150"/>
  <c r="F34" i="150"/>
  <c r="E34" i="150"/>
  <c r="C34" i="150"/>
  <c r="G33" i="150"/>
  <c r="F33" i="150"/>
  <c r="E33" i="150"/>
  <c r="C33" i="150"/>
  <c r="G32" i="150"/>
  <c r="J31" i="150"/>
  <c r="I31" i="150"/>
  <c r="D31" i="150"/>
  <c r="G30" i="150"/>
  <c r="F30" i="150"/>
  <c r="E30" i="150"/>
  <c r="C30" i="150"/>
  <c r="F29" i="150"/>
  <c r="C29" i="150"/>
  <c r="C28" i="150"/>
  <c r="N14" i="150" s="1"/>
  <c r="J27" i="150"/>
  <c r="D27" i="150"/>
  <c r="C27" i="150"/>
  <c r="I27" i="150" s="1"/>
  <c r="U25" i="150"/>
  <c r="Q25" i="150"/>
  <c r="P25" i="150"/>
  <c r="S22" i="150"/>
  <c r="R22" i="150"/>
  <c r="C22" i="150"/>
  <c r="N22" i="150" s="1"/>
  <c r="T22" i="150" s="1"/>
  <c r="V22" i="150" s="1"/>
  <c r="W21" i="150"/>
  <c r="R21" i="150"/>
  <c r="O21" i="150"/>
  <c r="I21" i="150"/>
  <c r="G21" i="150"/>
  <c r="E21" i="150"/>
  <c r="D21" i="150"/>
  <c r="R20" i="150"/>
  <c r="O20" i="150"/>
  <c r="N20" i="150"/>
  <c r="D20" i="150"/>
  <c r="W19" i="150"/>
  <c r="R19" i="150"/>
  <c r="O19" i="150"/>
  <c r="D19" i="150"/>
  <c r="I19" i="150" s="1"/>
  <c r="R18" i="150"/>
  <c r="O18" i="150"/>
  <c r="N18" i="150"/>
  <c r="D18" i="150"/>
  <c r="R17" i="150"/>
  <c r="O17" i="150"/>
  <c r="N17" i="150"/>
  <c r="D17" i="150"/>
  <c r="S17" i="150" s="1"/>
  <c r="R16" i="150"/>
  <c r="R25" i="150" s="1"/>
  <c r="O16" i="150"/>
  <c r="N16" i="150"/>
  <c r="I16" i="150"/>
  <c r="D16" i="150"/>
  <c r="R15" i="150"/>
  <c r="O15" i="150"/>
  <c r="N15" i="150"/>
  <c r="D15" i="150"/>
  <c r="I15" i="150" s="1"/>
  <c r="W14" i="150"/>
  <c r="W25" i="150" s="1"/>
  <c r="R14" i="150"/>
  <c r="O14" i="150"/>
  <c r="O25" i="150" s="1"/>
  <c r="O27" i="150" s="1"/>
  <c r="I14" i="150"/>
  <c r="D14" i="150"/>
  <c r="S13" i="150"/>
  <c r="R13" i="150"/>
  <c r="O13" i="150"/>
  <c r="D13" i="150"/>
  <c r="I13" i="150" s="1"/>
  <c r="J13" i="150" s="1"/>
  <c r="H12" i="150"/>
  <c r="G12" i="150"/>
  <c r="F12" i="150"/>
  <c r="E12" i="150"/>
  <c r="C12" i="150"/>
  <c r="D5" i="150"/>
  <c r="C5" i="150"/>
  <c r="A4" i="150"/>
  <c r="E2" i="150"/>
  <c r="F5" i="150" s="1"/>
  <c r="F1" i="150"/>
  <c r="E1" i="150"/>
  <c r="C1" i="150"/>
  <c r="B1" i="150"/>
  <c r="G26" i="150" l="1"/>
  <c r="G25" i="150" s="1"/>
  <c r="G10" i="150" s="1"/>
  <c r="S21" i="150"/>
  <c r="E26" i="150"/>
  <c r="E25" i="150" s="1"/>
  <c r="E10" i="150" s="1"/>
  <c r="I35" i="150"/>
  <c r="L138" i="138"/>
  <c r="AF140" i="138"/>
  <c r="J34" i="150"/>
  <c r="J21" i="150"/>
  <c r="V29" i="150"/>
  <c r="X23" i="150"/>
  <c r="T17" i="150"/>
  <c r="V17" i="150" s="1"/>
  <c r="D12" i="150"/>
  <c r="N13" i="150"/>
  <c r="I17" i="150"/>
  <c r="J17" i="150" s="1"/>
  <c r="F26" i="150"/>
  <c r="F25" i="150" s="1"/>
  <c r="F10" i="150" s="1"/>
  <c r="C2" i="150"/>
  <c r="D1" i="150" s="1"/>
  <c r="I18" i="150"/>
  <c r="N19" i="150"/>
  <c r="I20" i="150"/>
  <c r="C26" i="150"/>
  <c r="C25" i="150" s="1"/>
  <c r="D34" i="150"/>
  <c r="S20" i="150" s="1"/>
  <c r="T20" i="150" s="1"/>
  <c r="V20" i="150" s="1"/>
  <c r="D2" i="150"/>
  <c r="N21" i="150"/>
  <c r="T21" i="150" s="1"/>
  <c r="V21" i="150" s="1"/>
  <c r="AG149" i="138" l="1"/>
  <c r="AD140" i="138"/>
  <c r="AD138" i="138" s="1"/>
  <c r="AF138" i="138"/>
  <c r="I34" i="150"/>
  <c r="J20" i="150" s="1"/>
  <c r="N25" i="150"/>
  <c r="P27" i="150" s="1"/>
  <c r="T13" i="150"/>
  <c r="C10" i="150"/>
  <c r="N27" i="150" s="1"/>
  <c r="AR131" i="138" l="1"/>
  <c r="V13" i="150"/>
  <c r="H28" i="150" l="1"/>
  <c r="H29" i="150"/>
  <c r="H33" i="150" l="1"/>
  <c r="H30" i="150"/>
  <c r="H32" i="150"/>
  <c r="D29" i="150"/>
  <c r="J29" i="150"/>
  <c r="D28" i="150"/>
  <c r="J28" i="150"/>
  <c r="E47" i="78"/>
  <c r="E50" i="78"/>
  <c r="F35" i="79"/>
  <c r="F36" i="79"/>
  <c r="O29" i="79"/>
  <c r="S15" i="150" l="1"/>
  <c r="T15" i="150" s="1"/>
  <c r="V15" i="150" s="1"/>
  <c r="I29" i="150"/>
  <c r="J15" i="150" s="1"/>
  <c r="D30" i="150"/>
  <c r="J30" i="150"/>
  <c r="H26" i="150"/>
  <c r="H25" i="150" s="1"/>
  <c r="H10" i="150" s="1"/>
  <c r="S14" i="150"/>
  <c r="I28" i="150"/>
  <c r="J14" i="150" s="1"/>
  <c r="L14" i="150" s="1"/>
  <c r="J32" i="150"/>
  <c r="D32" i="150"/>
  <c r="J33" i="150"/>
  <c r="D33" i="150"/>
  <c r="M15" i="152"/>
  <c r="N15" i="152" s="1"/>
  <c r="N14" i="152"/>
  <c r="L13" i="152"/>
  <c r="M12" i="152"/>
  <c r="N12" i="152" s="1"/>
  <c r="L11" i="152"/>
  <c r="L10" i="152" s="1"/>
  <c r="O42" i="153"/>
  <c r="O39" i="153"/>
  <c r="Q38" i="153"/>
  <c r="R34" i="153"/>
  <c r="P33" i="153"/>
  <c r="O33" i="153"/>
  <c r="O30" i="153"/>
  <c r="N30" i="153"/>
  <c r="O29" i="153"/>
  <c r="N29" i="153"/>
  <c r="M28" i="153"/>
  <c r="N28" i="153" s="1"/>
  <c r="L28" i="153"/>
  <c r="M27" i="153"/>
  <c r="O27" i="153" s="1"/>
  <c r="N26" i="153"/>
  <c r="M25" i="153"/>
  <c r="N25" i="153" s="1"/>
  <c r="O24" i="153"/>
  <c r="N24" i="153"/>
  <c r="N23" i="153"/>
  <c r="M22" i="153"/>
  <c r="M21" i="153" s="1"/>
  <c r="L21" i="153"/>
  <c r="L20" i="153" s="1"/>
  <c r="K21" i="153"/>
  <c r="K20" i="153" s="1"/>
  <c r="J21" i="153"/>
  <c r="I21" i="153"/>
  <c r="I20" i="153" s="1"/>
  <c r="H21" i="153"/>
  <c r="H20" i="153" s="1"/>
  <c r="G21" i="153"/>
  <c r="G20" i="153" s="1"/>
  <c r="F21" i="153"/>
  <c r="E21" i="153"/>
  <c r="E20" i="153" s="1"/>
  <c r="D21" i="153"/>
  <c r="D20" i="153" s="1"/>
  <c r="J20" i="153"/>
  <c r="F20" i="153"/>
  <c r="N19" i="153"/>
  <c r="N18" i="153"/>
  <c r="M17" i="153"/>
  <c r="N17" i="153" s="1"/>
  <c r="L17" i="153"/>
  <c r="K17" i="153"/>
  <c r="J17" i="153"/>
  <c r="I17" i="153"/>
  <c r="H17" i="153"/>
  <c r="G17" i="153"/>
  <c r="F17" i="153"/>
  <c r="E17" i="153"/>
  <c r="D17" i="153"/>
  <c r="N16" i="153"/>
  <c r="N15" i="153"/>
  <c r="N14" i="153"/>
  <c r="N13" i="153"/>
  <c r="N12" i="153"/>
  <c r="M11" i="153"/>
  <c r="N11" i="153" s="1"/>
  <c r="L11" i="153"/>
  <c r="D11" i="153"/>
  <c r="D10" i="153" s="1"/>
  <c r="M10" i="153"/>
  <c r="N10" i="153" s="1"/>
  <c r="L10" i="153"/>
  <c r="L9" i="153" s="1"/>
  <c r="K10" i="153"/>
  <c r="K9" i="153" s="1"/>
  <c r="J10" i="153"/>
  <c r="I10" i="153"/>
  <c r="I9" i="153" s="1"/>
  <c r="H10" i="153"/>
  <c r="H9" i="153" s="1"/>
  <c r="G10" i="153"/>
  <c r="G9" i="153" s="1"/>
  <c r="F10" i="153"/>
  <c r="E10" i="153"/>
  <c r="E9" i="153" s="1"/>
  <c r="J9" i="153"/>
  <c r="F9" i="153"/>
  <c r="I32" i="150" l="1"/>
  <c r="J18" i="150" s="1"/>
  <c r="S18" i="150"/>
  <c r="T18" i="150" s="1"/>
  <c r="V18" i="150" s="1"/>
  <c r="T14" i="150"/>
  <c r="S19" i="150"/>
  <c r="T19" i="150" s="1"/>
  <c r="V19" i="150" s="1"/>
  <c r="I33" i="150"/>
  <c r="J19" i="150" s="1"/>
  <c r="L19" i="150" s="1"/>
  <c r="D26" i="150"/>
  <c r="D25" i="150" s="1"/>
  <c r="I30" i="150"/>
  <c r="J16" i="150" s="1"/>
  <c r="S16" i="150"/>
  <c r="T16" i="150" s="1"/>
  <c r="V16" i="150" s="1"/>
  <c r="M11" i="152"/>
  <c r="M13" i="152"/>
  <c r="N13" i="152" s="1"/>
  <c r="D9" i="153"/>
  <c r="N21" i="153"/>
  <c r="M20" i="153"/>
  <c r="N20" i="153" s="1"/>
  <c r="N22" i="153"/>
  <c r="N27" i="153"/>
  <c r="S25" i="150" l="1"/>
  <c r="S28" i="150" s="1"/>
  <c r="S29" i="150" s="1"/>
  <c r="I25" i="150"/>
  <c r="D10" i="150"/>
  <c r="T8" i="150"/>
  <c r="U8" i="150" s="1"/>
  <c r="V14" i="150"/>
  <c r="T25" i="150"/>
  <c r="N11" i="152"/>
  <c r="N10" i="152" s="1"/>
  <c r="M10" i="152"/>
  <c r="M9" i="153"/>
  <c r="N9" i="153" s="1"/>
  <c r="S27" i="150" l="1"/>
  <c r="T31" i="150"/>
  <c r="T32" i="150" s="1"/>
  <c r="W7" i="150"/>
  <c r="V25" i="150"/>
  <c r="V8" i="150"/>
  <c r="K131" i="138" l="1"/>
  <c r="J131" i="138"/>
  <c r="D12" i="88"/>
  <c r="E12" i="88"/>
  <c r="C12" i="88"/>
  <c r="D14" i="66"/>
  <c r="E29" i="65"/>
  <c r="E28" i="65"/>
  <c r="E26" i="65"/>
  <c r="E24" i="65" s="1"/>
  <c r="E22" i="65" s="1"/>
  <c r="C32" i="65"/>
  <c r="C27" i="65"/>
  <c r="D8" i="66"/>
  <c r="C21" i="66"/>
  <c r="C22" i="66"/>
  <c r="D11" i="65" l="1"/>
  <c r="D33" i="65" s="1"/>
  <c r="E18" i="65"/>
  <c r="C19" i="65"/>
  <c r="C14" i="66"/>
  <c r="C18" i="66"/>
  <c r="C19" i="66"/>
  <c r="C20" i="66"/>
  <c r="C33" i="65" l="1"/>
  <c r="D30" i="65"/>
  <c r="C18" i="65"/>
  <c r="E31" i="65"/>
  <c r="C31" i="65" l="1"/>
  <c r="C30" i="65" s="1"/>
  <c r="E30" i="65"/>
  <c r="P9" i="133" l="1"/>
  <c r="O9" i="133"/>
  <c r="P102" i="133"/>
  <c r="P101" i="133" s="1"/>
  <c r="P98" i="133"/>
  <c r="P95" i="133"/>
  <c r="P94" i="133" s="1"/>
  <c r="P91" i="133"/>
  <c r="P88" i="133"/>
  <c r="P85" i="133"/>
  <c r="P82" i="133"/>
  <c r="P72" i="133"/>
  <c r="P28" i="133"/>
  <c r="P24" i="133"/>
  <c r="P65" i="133"/>
  <c r="P63" i="133"/>
  <c r="P61" i="133"/>
  <c r="P59" i="133"/>
  <c r="P57" i="133"/>
  <c r="P55" i="133"/>
  <c r="P52" i="133"/>
  <c r="P50" i="133"/>
  <c r="P48" i="133"/>
  <c r="P46" i="133"/>
  <c r="P44" i="133"/>
  <c r="P41" i="133"/>
  <c r="P38" i="133"/>
  <c r="P34" i="133"/>
  <c r="O12" i="133"/>
  <c r="O10" i="133" s="1"/>
  <c r="P81" i="133" l="1"/>
  <c r="P79" i="133" s="1"/>
  <c r="P54" i="133"/>
  <c r="P33" i="133"/>
  <c r="P31" i="133" l="1"/>
  <c r="A1" i="133" l="1"/>
  <c r="AO127" i="138" l="1"/>
  <c r="AP127" i="138"/>
  <c r="AQ127" i="138"/>
  <c r="AN127" i="138"/>
  <c r="AG127" i="138"/>
  <c r="AQ122" i="138"/>
  <c r="AF122" i="138"/>
  <c r="AC122" i="138"/>
  <c r="O122" i="138"/>
  <c r="Q122" i="138"/>
  <c r="R122" i="138"/>
  <c r="R89" i="138"/>
  <c r="D131" i="138"/>
  <c r="D9" i="138" s="1"/>
  <c r="E131" i="138"/>
  <c r="E9" i="138" s="1"/>
  <c r="F131" i="138"/>
  <c r="F9" i="138" s="1"/>
  <c r="G131" i="138"/>
  <c r="G9" i="138" s="1"/>
  <c r="H131" i="138"/>
  <c r="H9" i="138" s="1"/>
  <c r="I131" i="138"/>
  <c r="I9" i="138" s="1"/>
  <c r="P154" i="138"/>
  <c r="L154" i="138" s="1"/>
  <c r="P153" i="138"/>
  <c r="L153" i="138" s="1"/>
  <c r="P152" i="138"/>
  <c r="L152" i="138" s="1"/>
  <c r="P151" i="138"/>
  <c r="L151" i="138" s="1"/>
  <c r="AF151" i="138" s="1"/>
  <c r="P141" i="138"/>
  <c r="C131" i="138"/>
  <c r="E57" i="134"/>
  <c r="L141" i="138" l="1"/>
  <c r="AD151" i="138"/>
  <c r="R4" i="149"/>
  <c r="AC161" i="149"/>
  <c r="AF160" i="149"/>
  <c r="AC160" i="149"/>
  <c r="M161" i="149" l="1"/>
  <c r="M160" i="149"/>
  <c r="L160" i="149" s="1"/>
  <c r="C161" i="149"/>
  <c r="C160" i="149"/>
  <c r="K159" i="149"/>
  <c r="P160" i="149"/>
  <c r="C159" i="149" l="1"/>
  <c r="AQ160" i="149"/>
  <c r="AQ159" i="149" s="1"/>
  <c r="M159" i="149"/>
  <c r="R161" i="149" l="1"/>
  <c r="R159" i="149" l="1"/>
  <c r="P161" i="149"/>
  <c r="P159" i="149" l="1"/>
  <c r="L161" i="149"/>
  <c r="L159" i="149" s="1"/>
  <c r="P165" i="149" l="1"/>
  <c r="P166" i="149"/>
  <c r="P167" i="149"/>
  <c r="L167" i="149" s="1"/>
  <c r="P168" i="149"/>
  <c r="L168" i="149" s="1"/>
  <c r="P169" i="149"/>
  <c r="L165" i="149"/>
  <c r="AF165" i="149" s="1"/>
  <c r="L166" i="149"/>
  <c r="L169" i="149"/>
  <c r="AC163" i="149"/>
  <c r="P163" i="149" l="1"/>
  <c r="L163" i="149" s="1"/>
  <c r="AF163" i="149" s="1"/>
  <c r="P164" i="149"/>
  <c r="L164" i="149" s="1"/>
  <c r="P162" i="149"/>
  <c r="L162" i="149" s="1"/>
  <c r="S135" i="149" l="1"/>
  <c r="S136" i="149"/>
  <c r="S137" i="149"/>
  <c r="S138" i="149"/>
  <c r="S139" i="149"/>
  <c r="S140" i="149"/>
  <c r="M135" i="149"/>
  <c r="L135" i="149" s="1"/>
  <c r="AQ135" i="149" s="1"/>
  <c r="M136" i="149"/>
  <c r="L136" i="149" s="1"/>
  <c r="M137" i="149"/>
  <c r="L137" i="149" s="1"/>
  <c r="AQ137" i="149" s="1"/>
  <c r="M138" i="149"/>
  <c r="L138" i="149" s="1"/>
  <c r="AQ138" i="149" s="1"/>
  <c r="M139" i="149"/>
  <c r="L139" i="149" s="1"/>
  <c r="AQ139" i="149" s="1"/>
  <c r="M140" i="149"/>
  <c r="L140" i="149" s="1"/>
  <c r="P171" i="149" l="1"/>
  <c r="L171" i="149" s="1"/>
  <c r="AF171" i="149" s="1"/>
  <c r="P170" i="149"/>
  <c r="L170" i="149" s="1"/>
  <c r="R158" i="149"/>
  <c r="P158" i="149" s="1"/>
  <c r="L158" i="149" s="1"/>
  <c r="P157" i="149"/>
  <c r="P4" i="149" s="1"/>
  <c r="P156" i="149"/>
  <c r="L156" i="149" s="1"/>
  <c r="AF156" i="149" s="1"/>
  <c r="P155" i="149"/>
  <c r="L155" i="149" s="1"/>
  <c r="AQ155" i="149" s="1"/>
  <c r="P154" i="149"/>
  <c r="L154" i="149" s="1"/>
  <c r="P153" i="149"/>
  <c r="L153" i="149" s="1"/>
  <c r="P152" i="149"/>
  <c r="L152" i="149" s="1"/>
  <c r="P151" i="149"/>
  <c r="L151" i="149" s="1"/>
  <c r="AQ151" i="149" s="1"/>
  <c r="P150" i="149"/>
  <c r="L150" i="149" s="1"/>
  <c r="P149" i="149"/>
  <c r="L149" i="149" s="1"/>
  <c r="P148" i="149"/>
  <c r="L148" i="149" s="1"/>
  <c r="P147" i="149"/>
  <c r="L147" i="149" s="1"/>
  <c r="P146" i="149"/>
  <c r="L146" i="149" s="1"/>
  <c r="AQ146" i="149" s="1"/>
  <c r="P145" i="149"/>
  <c r="L145" i="149" s="1"/>
  <c r="P144" i="149"/>
  <c r="L144" i="149" s="1"/>
  <c r="R143" i="149"/>
  <c r="P143" i="149" s="1"/>
  <c r="L143" i="149" s="1"/>
  <c r="AQ143" i="149" s="1"/>
  <c r="P142" i="149"/>
  <c r="L142" i="149" s="1"/>
  <c r="P141" i="149"/>
  <c r="L141" i="149" s="1"/>
  <c r="S134" i="149"/>
  <c r="M134" i="149"/>
  <c r="L134" i="149" s="1"/>
  <c r="S133" i="149"/>
  <c r="M133" i="149"/>
  <c r="L133" i="149" s="1"/>
  <c r="S132" i="149"/>
  <c r="M132" i="149"/>
  <c r="L132" i="149" s="1"/>
  <c r="M130" i="149"/>
  <c r="L130" i="149" s="1"/>
  <c r="C130" i="149"/>
  <c r="AD129" i="149"/>
  <c r="S129" i="149"/>
  <c r="P129" i="149"/>
  <c r="M129" i="149"/>
  <c r="C129" i="149"/>
  <c r="AD128" i="149"/>
  <c r="S128" i="149"/>
  <c r="P128" i="149"/>
  <c r="M128" i="149"/>
  <c r="C128" i="149"/>
  <c r="AK127" i="149"/>
  <c r="AJ127" i="149"/>
  <c r="AI127" i="149"/>
  <c r="AH127" i="149"/>
  <c r="AG127" i="149"/>
  <c r="AF127" i="149"/>
  <c r="AE127" i="149"/>
  <c r="W127" i="149"/>
  <c r="V127" i="149"/>
  <c r="U127" i="149"/>
  <c r="T127" i="149"/>
  <c r="E127" i="149"/>
  <c r="D127" i="149"/>
  <c r="M126" i="149"/>
  <c r="L126" i="149" s="1"/>
  <c r="C126" i="149"/>
  <c r="S125" i="149"/>
  <c r="P125" i="149"/>
  <c r="O125" i="149"/>
  <c r="C125" i="149"/>
  <c r="S124" i="149"/>
  <c r="P124" i="149"/>
  <c r="O124" i="149"/>
  <c r="O120" i="149" s="1"/>
  <c r="C124" i="149"/>
  <c r="C123" i="149" s="1"/>
  <c r="AR123" i="149"/>
  <c r="AQ123" i="149"/>
  <c r="AP123" i="149"/>
  <c r="AO123" i="149"/>
  <c r="AN123" i="149"/>
  <c r="AM123" i="149"/>
  <c r="AL123" i="149"/>
  <c r="AK123" i="149"/>
  <c r="AJ123" i="149"/>
  <c r="AI123" i="149"/>
  <c r="AH123" i="149"/>
  <c r="AG123" i="149"/>
  <c r="AE123" i="149"/>
  <c r="AC123" i="149"/>
  <c r="AB123" i="149"/>
  <c r="AA123" i="149"/>
  <c r="Z123" i="149"/>
  <c r="Y123" i="149"/>
  <c r="X123" i="149"/>
  <c r="W123" i="149"/>
  <c r="V123" i="149"/>
  <c r="U123" i="149"/>
  <c r="T123" i="149"/>
  <c r="R123" i="149"/>
  <c r="Q123" i="149"/>
  <c r="P123" i="149"/>
  <c r="N123" i="149"/>
  <c r="K123" i="149"/>
  <c r="E123" i="149"/>
  <c r="D123" i="149"/>
  <c r="AR122" i="149"/>
  <c r="AQ122" i="149"/>
  <c r="AQ89" i="149" s="1"/>
  <c r="AP122" i="149"/>
  <c r="AP89" i="149" s="1"/>
  <c r="AO122" i="149"/>
  <c r="AO89" i="149" s="1"/>
  <c r="AN122" i="149"/>
  <c r="AN89" i="149" s="1"/>
  <c r="AF122" i="149"/>
  <c r="AE122" i="149"/>
  <c r="AE89" i="149" s="1"/>
  <c r="AC122" i="149"/>
  <c r="AB122" i="149"/>
  <c r="AA122" i="149"/>
  <c r="AA89" i="149" s="1"/>
  <c r="Z122" i="149"/>
  <c r="Z89" i="149" s="1"/>
  <c r="R122" i="149"/>
  <c r="R89" i="149" s="1"/>
  <c r="Q122" i="149"/>
  <c r="Q89" i="149" s="1"/>
  <c r="O122" i="149"/>
  <c r="N122" i="149"/>
  <c r="L122" i="149"/>
  <c r="K122" i="149"/>
  <c r="J122" i="149"/>
  <c r="AQ121" i="149"/>
  <c r="AP121" i="149"/>
  <c r="AP88" i="149" s="1"/>
  <c r="AO121" i="149"/>
  <c r="AN121" i="149"/>
  <c r="AN88" i="149" s="1"/>
  <c r="AE121" i="149"/>
  <c r="AE88" i="149" s="1"/>
  <c r="AC121" i="149"/>
  <c r="AB121" i="149"/>
  <c r="AA121" i="149"/>
  <c r="AA88" i="149" s="1"/>
  <c r="Z121" i="149"/>
  <c r="R121" i="149"/>
  <c r="R88" i="149" s="1"/>
  <c r="Q121" i="149"/>
  <c r="Q88" i="149" s="1"/>
  <c r="N121" i="149"/>
  <c r="K121" i="149"/>
  <c r="J121" i="149"/>
  <c r="AQ120" i="149"/>
  <c r="AQ87" i="149" s="1"/>
  <c r="AP120" i="149"/>
  <c r="AO120" i="149"/>
  <c r="AO87" i="149" s="1"/>
  <c r="AN120" i="149"/>
  <c r="AN87" i="149" s="1"/>
  <c r="AE120" i="149"/>
  <c r="AE87" i="149" s="1"/>
  <c r="AC120" i="149"/>
  <c r="AB120" i="149"/>
  <c r="AB87" i="149" s="1"/>
  <c r="AA120" i="149"/>
  <c r="Z120" i="149"/>
  <c r="R120" i="149"/>
  <c r="Q120" i="149"/>
  <c r="N120" i="149"/>
  <c r="K120" i="149"/>
  <c r="J120" i="149"/>
  <c r="J87" i="149" s="1"/>
  <c r="AM119" i="149"/>
  <c r="AL119" i="149"/>
  <c r="AK119" i="149"/>
  <c r="AJ119" i="149"/>
  <c r="AI119" i="149"/>
  <c r="AH119" i="149"/>
  <c r="AG119" i="149"/>
  <c r="AD119" i="149"/>
  <c r="Y119" i="149"/>
  <c r="X119" i="149"/>
  <c r="W119" i="149"/>
  <c r="V119" i="149"/>
  <c r="U119" i="149"/>
  <c r="T119" i="149"/>
  <c r="P119" i="149"/>
  <c r="M118" i="149"/>
  <c r="L118" i="149" s="1"/>
  <c r="C118" i="149"/>
  <c r="AD117" i="149"/>
  <c r="S117" i="149"/>
  <c r="P117" i="149"/>
  <c r="M117" i="149"/>
  <c r="C117" i="149"/>
  <c r="AD116" i="149"/>
  <c r="S116" i="149"/>
  <c r="P116" i="149"/>
  <c r="M116" i="149"/>
  <c r="C116" i="149"/>
  <c r="AQ115" i="149"/>
  <c r="AQ114" i="149" s="1"/>
  <c r="AP115" i="149"/>
  <c r="AP114" i="149" s="1"/>
  <c r="AO115" i="149"/>
  <c r="AO114" i="149" s="1"/>
  <c r="AN115" i="149"/>
  <c r="AN114" i="149" s="1"/>
  <c r="AM115" i="149"/>
  <c r="AM114" i="149" s="1"/>
  <c r="AL115" i="149"/>
  <c r="AL114" i="149" s="1"/>
  <c r="AK115" i="149"/>
  <c r="AK114" i="149" s="1"/>
  <c r="AJ115" i="149"/>
  <c r="AJ114" i="149" s="1"/>
  <c r="AI115" i="149"/>
  <c r="AI114" i="149" s="1"/>
  <c r="AH115" i="149"/>
  <c r="AH114" i="149" s="1"/>
  <c r="AG115" i="149"/>
  <c r="AG114" i="149" s="1"/>
  <c r="AF115" i="149"/>
  <c r="AF114" i="149" s="1"/>
  <c r="AE115" i="149"/>
  <c r="AE114" i="149" s="1"/>
  <c r="AC115" i="149"/>
  <c r="AC114" i="149" s="1"/>
  <c r="AB115" i="149"/>
  <c r="AB114" i="149" s="1"/>
  <c r="AA115" i="149"/>
  <c r="AA114" i="149" s="1"/>
  <c r="Z115" i="149"/>
  <c r="Z114" i="149" s="1"/>
  <c r="Y115" i="149"/>
  <c r="Y114" i="149" s="1"/>
  <c r="X115" i="149"/>
  <c r="X114" i="149" s="1"/>
  <c r="W115" i="149"/>
  <c r="W114" i="149" s="1"/>
  <c r="V115" i="149"/>
  <c r="V114" i="149" s="1"/>
  <c r="U115" i="149"/>
  <c r="U114" i="149" s="1"/>
  <c r="T115" i="149"/>
  <c r="T114" i="149" s="1"/>
  <c r="R115" i="149"/>
  <c r="R114" i="149" s="1"/>
  <c r="Q115" i="149"/>
  <c r="Q114" i="149" s="1"/>
  <c r="O115" i="149"/>
  <c r="O114" i="149" s="1"/>
  <c r="N115" i="149"/>
  <c r="N114" i="149" s="1"/>
  <c r="K115" i="149"/>
  <c r="K114" i="149" s="1"/>
  <c r="J115" i="149"/>
  <c r="J114" i="149" s="1"/>
  <c r="I114" i="149"/>
  <c r="H114" i="149"/>
  <c r="G114" i="149"/>
  <c r="F114" i="149"/>
  <c r="E114" i="149"/>
  <c r="D114" i="149"/>
  <c r="M113" i="149"/>
  <c r="L113" i="149" s="1"/>
  <c r="C113" i="149"/>
  <c r="AD112" i="149"/>
  <c r="S112" i="149"/>
  <c r="P112" i="149"/>
  <c r="M112" i="149"/>
  <c r="C112" i="149"/>
  <c r="AD111" i="149"/>
  <c r="S111" i="149"/>
  <c r="P111" i="149"/>
  <c r="M111" i="149"/>
  <c r="C111" i="149"/>
  <c r="AQ110" i="149"/>
  <c r="AP110" i="149"/>
  <c r="AO110" i="149"/>
  <c r="AN110" i="149"/>
  <c r="AM110" i="149"/>
  <c r="AL110" i="149"/>
  <c r="AK110" i="149"/>
  <c r="AJ110" i="149"/>
  <c r="AI110" i="149"/>
  <c r="AH110" i="149"/>
  <c r="AG110" i="149"/>
  <c r="AF110" i="149"/>
  <c r="AE110" i="149"/>
  <c r="AC110" i="149"/>
  <c r="AB110" i="149"/>
  <c r="AA110" i="149"/>
  <c r="Z110" i="149"/>
  <c r="Y110" i="149"/>
  <c r="X110" i="149"/>
  <c r="W110" i="149"/>
  <c r="V110" i="149"/>
  <c r="U110" i="149"/>
  <c r="T110" i="149"/>
  <c r="R110" i="149"/>
  <c r="Q110" i="149"/>
  <c r="O110" i="149"/>
  <c r="N110" i="149"/>
  <c r="M109" i="149"/>
  <c r="L109" i="149" s="1"/>
  <c r="C109" i="149"/>
  <c r="S108" i="149"/>
  <c r="P108" i="149"/>
  <c r="M108" i="149"/>
  <c r="C108" i="149"/>
  <c r="S107" i="149"/>
  <c r="P107" i="149"/>
  <c r="P106" i="149" s="1"/>
  <c r="M107" i="149"/>
  <c r="C107" i="149"/>
  <c r="AR106" i="149"/>
  <c r="AQ106" i="149"/>
  <c r="AP106" i="149"/>
  <c r="AO106" i="149"/>
  <c r="AN106" i="149"/>
  <c r="AM106" i="149"/>
  <c r="AL106" i="149"/>
  <c r="AK106" i="149"/>
  <c r="AJ106" i="149"/>
  <c r="AI106" i="149"/>
  <c r="AH106" i="149"/>
  <c r="AG106" i="149"/>
  <c r="AE106" i="149"/>
  <c r="AC106" i="149"/>
  <c r="AB106" i="149"/>
  <c r="AA106" i="149"/>
  <c r="Z106" i="149"/>
  <c r="Y106" i="149"/>
  <c r="X106" i="149"/>
  <c r="W106" i="149"/>
  <c r="V106" i="149"/>
  <c r="U106" i="149"/>
  <c r="T106" i="149"/>
  <c r="R106" i="149"/>
  <c r="O106" i="149"/>
  <c r="W105" i="149"/>
  <c r="V105" i="149" s="1"/>
  <c r="S105" i="149" s="1"/>
  <c r="M105" i="149"/>
  <c r="C105" i="149"/>
  <c r="Z104" i="149"/>
  <c r="W104" i="149"/>
  <c r="M104" i="149"/>
  <c r="L104" i="149" s="1"/>
  <c r="C104" i="149"/>
  <c r="Z103" i="149"/>
  <c r="Z102" i="149" s="1"/>
  <c r="W103" i="149"/>
  <c r="M103" i="149"/>
  <c r="L103" i="149" s="1"/>
  <c r="C103" i="149"/>
  <c r="AS102" i="149"/>
  <c r="AQ102" i="149"/>
  <c r="AO102" i="149"/>
  <c r="AN102" i="149"/>
  <c r="AM102" i="149"/>
  <c r="AL102" i="149"/>
  <c r="AK102" i="149"/>
  <c r="AJ102" i="149"/>
  <c r="AI102" i="149"/>
  <c r="AH102" i="149"/>
  <c r="AG102" i="149"/>
  <c r="AF102" i="149"/>
  <c r="AE102" i="149"/>
  <c r="AD102" i="149"/>
  <c r="AC102" i="149"/>
  <c r="AB102" i="149"/>
  <c r="AA102" i="149"/>
  <c r="Y102" i="149"/>
  <c r="X102" i="149"/>
  <c r="U102" i="149"/>
  <c r="T102" i="149"/>
  <c r="R102" i="149"/>
  <c r="Q102" i="149"/>
  <c r="P102" i="149"/>
  <c r="O102" i="149"/>
  <c r="N102" i="149"/>
  <c r="K102" i="149"/>
  <c r="J102" i="149"/>
  <c r="I102" i="149"/>
  <c r="H102" i="149"/>
  <c r="G102" i="149"/>
  <c r="F102" i="149"/>
  <c r="E102" i="149"/>
  <c r="D102" i="149"/>
  <c r="W101" i="149"/>
  <c r="V101" i="149" s="1"/>
  <c r="S101" i="149" s="1"/>
  <c r="M101" i="149"/>
  <c r="L101" i="149" s="1"/>
  <c r="C101" i="149"/>
  <c r="Z100" i="149"/>
  <c r="W100" i="149"/>
  <c r="M100" i="149"/>
  <c r="L100" i="149" s="1"/>
  <c r="C100" i="149"/>
  <c r="Z99" i="149"/>
  <c r="Z98" i="149" s="1"/>
  <c r="W99" i="149"/>
  <c r="M99" i="149"/>
  <c r="L99" i="149" s="1"/>
  <c r="C99" i="149"/>
  <c r="C98" i="149" s="1"/>
  <c r="BA98" i="149"/>
  <c r="AZ98" i="149"/>
  <c r="AY98" i="149"/>
  <c r="AX98" i="149"/>
  <c r="AW98" i="149"/>
  <c r="AV98" i="149"/>
  <c r="AU98" i="149"/>
  <c r="AS98" i="149"/>
  <c r="AR98" i="149"/>
  <c r="AQ98" i="149"/>
  <c r="AP98" i="149"/>
  <c r="AO98" i="149"/>
  <c r="AN98" i="149"/>
  <c r="AM98" i="149"/>
  <c r="AL98" i="149"/>
  <c r="AK98" i="149"/>
  <c r="AJ98" i="149"/>
  <c r="AI98" i="149"/>
  <c r="AH98" i="149"/>
  <c r="AG98" i="149"/>
  <c r="AE98" i="149"/>
  <c r="AD98" i="149"/>
  <c r="AC98" i="149"/>
  <c r="AB98" i="149"/>
  <c r="AA98" i="149"/>
  <c r="Y98" i="149"/>
  <c r="X98" i="149"/>
  <c r="U98" i="149"/>
  <c r="T98" i="149"/>
  <c r="R98" i="149"/>
  <c r="Q98" i="149"/>
  <c r="P98" i="149"/>
  <c r="O98" i="149"/>
  <c r="N98" i="149"/>
  <c r="K98" i="149"/>
  <c r="J98" i="149"/>
  <c r="I98" i="149"/>
  <c r="H98" i="149"/>
  <c r="G98" i="149"/>
  <c r="F98" i="149"/>
  <c r="E98" i="149"/>
  <c r="D98" i="149"/>
  <c r="W97" i="149"/>
  <c r="M97" i="149"/>
  <c r="L97" i="149" s="1"/>
  <c r="C97" i="149"/>
  <c r="Z96" i="149"/>
  <c r="W96" i="149"/>
  <c r="M96" i="149"/>
  <c r="L96" i="149" s="1"/>
  <c r="C96" i="149"/>
  <c r="Z95" i="149"/>
  <c r="W95" i="149"/>
  <c r="M95" i="149"/>
  <c r="C95" i="149"/>
  <c r="C94" i="149" s="1"/>
  <c r="BA94" i="149"/>
  <c r="AZ94" i="149"/>
  <c r="AY94" i="149"/>
  <c r="AX94" i="149"/>
  <c r="AW94" i="149"/>
  <c r="AV94" i="149"/>
  <c r="AU94" i="149"/>
  <c r="AS94" i="149"/>
  <c r="AQ94" i="149"/>
  <c r="AO94" i="149"/>
  <c r="AN94" i="149"/>
  <c r="AM94" i="149"/>
  <c r="AL94" i="149"/>
  <c r="AK94" i="149"/>
  <c r="AJ94" i="149"/>
  <c r="AI94" i="149"/>
  <c r="AH94" i="149"/>
  <c r="AG94" i="149"/>
  <c r="AF94" i="149"/>
  <c r="AE94" i="149"/>
  <c r="AD94" i="149"/>
  <c r="AC94" i="149"/>
  <c r="AB94" i="149"/>
  <c r="AA94" i="149"/>
  <c r="Y94" i="149"/>
  <c r="X94" i="149"/>
  <c r="U94" i="149"/>
  <c r="T94" i="149"/>
  <c r="R94" i="149"/>
  <c r="Q94" i="149"/>
  <c r="P94" i="149"/>
  <c r="O94" i="149"/>
  <c r="N94" i="149"/>
  <c r="K94" i="149"/>
  <c r="J94" i="149"/>
  <c r="I94" i="149"/>
  <c r="H94" i="149"/>
  <c r="G94" i="149"/>
  <c r="F94" i="149"/>
  <c r="E94" i="149"/>
  <c r="D94" i="149"/>
  <c r="AR93" i="149"/>
  <c r="AF93" i="149"/>
  <c r="AC93" i="149"/>
  <c r="O93" i="149"/>
  <c r="N93" i="149"/>
  <c r="K93" i="149"/>
  <c r="C93" i="149" s="1"/>
  <c r="AC92" i="149"/>
  <c r="S92" i="149" s="1"/>
  <c r="P92" i="149"/>
  <c r="O92" i="149"/>
  <c r="N92" i="149"/>
  <c r="K92" i="149"/>
  <c r="AC91" i="149"/>
  <c r="P91" i="149"/>
  <c r="O91" i="149"/>
  <c r="N91" i="149"/>
  <c r="K91" i="149"/>
  <c r="AQ90" i="149"/>
  <c r="AP90" i="149"/>
  <c r="AO90" i="149"/>
  <c r="AN90" i="149"/>
  <c r="AM90" i="149"/>
  <c r="AL90" i="149"/>
  <c r="AK90" i="149"/>
  <c r="AJ90" i="149"/>
  <c r="AI90" i="149"/>
  <c r="AH90" i="149"/>
  <c r="AG90" i="149"/>
  <c r="AE90" i="149"/>
  <c r="AB90" i="149"/>
  <c r="AA90" i="149"/>
  <c r="Z90" i="149"/>
  <c r="Y90" i="149"/>
  <c r="X90" i="149"/>
  <c r="W90" i="149"/>
  <c r="V90" i="149"/>
  <c r="U90" i="149"/>
  <c r="T90" i="149"/>
  <c r="R90" i="149"/>
  <c r="J90" i="149"/>
  <c r="AB88" i="149"/>
  <c r="AA87" i="149"/>
  <c r="AM86" i="149"/>
  <c r="AL86" i="149"/>
  <c r="AK86" i="149"/>
  <c r="AJ86" i="149"/>
  <c r="AI86" i="149"/>
  <c r="AH86" i="149"/>
  <c r="Y86" i="149"/>
  <c r="X86" i="149"/>
  <c r="W86" i="149"/>
  <c r="V86" i="149"/>
  <c r="U86" i="149"/>
  <c r="T86" i="149"/>
  <c r="P86" i="149"/>
  <c r="P85" i="149"/>
  <c r="M85" i="149"/>
  <c r="C85" i="149"/>
  <c r="AQ84" i="149"/>
  <c r="S84" i="149"/>
  <c r="P84" i="149"/>
  <c r="M84" i="149"/>
  <c r="C84" i="149"/>
  <c r="AQ83" i="149"/>
  <c r="S83" i="149"/>
  <c r="P83" i="149"/>
  <c r="M83" i="149"/>
  <c r="C83" i="149"/>
  <c r="AO82" i="149"/>
  <c r="AC82" i="149"/>
  <c r="AA82" i="149"/>
  <c r="O82" i="149"/>
  <c r="P81" i="149"/>
  <c r="M81" i="149"/>
  <c r="C81" i="149"/>
  <c r="S80" i="149"/>
  <c r="P80" i="149"/>
  <c r="M80" i="149"/>
  <c r="C80" i="149"/>
  <c r="S79" i="149"/>
  <c r="P79" i="149"/>
  <c r="M79" i="149"/>
  <c r="C79" i="149"/>
  <c r="AO78" i="149"/>
  <c r="AF78" i="149"/>
  <c r="AC78" i="149"/>
  <c r="AA78" i="149"/>
  <c r="O78" i="149"/>
  <c r="AR77" i="149"/>
  <c r="AQ77" i="149"/>
  <c r="AP77" i="149"/>
  <c r="AO77" i="149"/>
  <c r="AN77" i="149"/>
  <c r="AF77" i="149"/>
  <c r="AE77" i="149"/>
  <c r="AC77" i="149"/>
  <c r="AB77" i="149"/>
  <c r="AA77" i="149"/>
  <c r="Z77" i="149"/>
  <c r="S77" i="149"/>
  <c r="R77" i="149"/>
  <c r="Q77" i="149"/>
  <c r="P77" i="149"/>
  <c r="O77" i="149"/>
  <c r="N77" i="149"/>
  <c r="K77" i="149"/>
  <c r="J77" i="149"/>
  <c r="AP76" i="149"/>
  <c r="AO76" i="149"/>
  <c r="AN76" i="149"/>
  <c r="AE76" i="149"/>
  <c r="AC76" i="149"/>
  <c r="AB76" i="149"/>
  <c r="AA76" i="149"/>
  <c r="Z76" i="149"/>
  <c r="R76" i="149"/>
  <c r="Q76" i="149"/>
  <c r="P76" i="149"/>
  <c r="O76" i="149"/>
  <c r="N76" i="149"/>
  <c r="K76" i="149"/>
  <c r="J76" i="149"/>
  <c r="AP75" i="149"/>
  <c r="AO75" i="149"/>
  <c r="AN75" i="149"/>
  <c r="AE75" i="149"/>
  <c r="AC75" i="149"/>
  <c r="AB75" i="149"/>
  <c r="AA75" i="149"/>
  <c r="Z75" i="149"/>
  <c r="R75" i="149"/>
  <c r="Q75" i="149"/>
  <c r="P75" i="149"/>
  <c r="O75" i="149"/>
  <c r="N75" i="149"/>
  <c r="K75" i="149"/>
  <c r="J75" i="149"/>
  <c r="AM74" i="149"/>
  <c r="AL74" i="149"/>
  <c r="AK74" i="149"/>
  <c r="AJ74" i="149"/>
  <c r="AI74" i="149"/>
  <c r="AH74" i="149"/>
  <c r="AG74" i="149"/>
  <c r="AD74" i="149"/>
  <c r="Y74" i="149"/>
  <c r="X74" i="149"/>
  <c r="W74" i="149"/>
  <c r="V74" i="149"/>
  <c r="U74" i="149"/>
  <c r="T74" i="149"/>
  <c r="I74" i="149"/>
  <c r="H74" i="149"/>
  <c r="G74" i="149"/>
  <c r="F74" i="149"/>
  <c r="E74" i="149"/>
  <c r="D74" i="149"/>
  <c r="P73" i="149"/>
  <c r="M73" i="149"/>
  <c r="C73" i="149"/>
  <c r="S72" i="149"/>
  <c r="P72" i="149"/>
  <c r="M72" i="149"/>
  <c r="C72" i="149"/>
  <c r="S71" i="149"/>
  <c r="P71" i="149"/>
  <c r="M71" i="149"/>
  <c r="C71" i="149"/>
  <c r="AQ70" i="149"/>
  <c r="AO70" i="149"/>
  <c r="AF70" i="149"/>
  <c r="AC70" i="149"/>
  <c r="AA70" i="149"/>
  <c r="O70" i="149"/>
  <c r="M70" i="149"/>
  <c r="P69" i="149"/>
  <c r="M69" i="149"/>
  <c r="C69" i="149"/>
  <c r="S68" i="149"/>
  <c r="P68" i="149"/>
  <c r="M68" i="149"/>
  <c r="C68" i="149"/>
  <c r="S67" i="149"/>
  <c r="P67" i="149"/>
  <c r="M67" i="149"/>
  <c r="C67" i="149"/>
  <c r="C66" i="149" s="1"/>
  <c r="AQ66" i="149"/>
  <c r="AO66" i="149"/>
  <c r="AF66" i="149"/>
  <c r="AC66" i="149"/>
  <c r="AA66" i="149"/>
  <c r="P66" i="149"/>
  <c r="O66" i="149"/>
  <c r="K66" i="149"/>
  <c r="AR65" i="149"/>
  <c r="AQ65" i="149"/>
  <c r="AP65" i="149"/>
  <c r="AO65" i="149"/>
  <c r="AN65" i="149"/>
  <c r="AF65" i="149"/>
  <c r="AE65" i="149"/>
  <c r="AC65" i="149"/>
  <c r="AB65" i="149"/>
  <c r="AA65" i="149"/>
  <c r="Z65" i="149"/>
  <c r="S65" i="149"/>
  <c r="R65" i="149"/>
  <c r="Q65" i="149"/>
  <c r="P65" i="149"/>
  <c r="O65" i="149"/>
  <c r="N65" i="149"/>
  <c r="K65" i="149"/>
  <c r="J65" i="149"/>
  <c r="AQ64" i="149"/>
  <c r="AP64" i="149"/>
  <c r="AO64" i="149"/>
  <c r="AN64" i="149"/>
  <c r="AF64" i="149"/>
  <c r="AE64" i="149"/>
  <c r="AC64" i="149"/>
  <c r="AB64" i="149"/>
  <c r="AA64" i="149"/>
  <c r="Z64" i="149"/>
  <c r="R64" i="149"/>
  <c r="Q64" i="149"/>
  <c r="P64" i="149"/>
  <c r="O64" i="149"/>
  <c r="N64" i="149"/>
  <c r="K64" i="149"/>
  <c r="J64" i="149"/>
  <c r="AQ63" i="149"/>
  <c r="AP63" i="149"/>
  <c r="AO63" i="149"/>
  <c r="AN63" i="149"/>
  <c r="AF63" i="149"/>
  <c r="AE63" i="149"/>
  <c r="AC63" i="149"/>
  <c r="AB63" i="149"/>
  <c r="AA63" i="149"/>
  <c r="Z63" i="149"/>
  <c r="R63" i="149"/>
  <c r="Q63" i="149"/>
  <c r="P63" i="149"/>
  <c r="O63" i="149"/>
  <c r="N63" i="149"/>
  <c r="K63" i="149"/>
  <c r="J63" i="149"/>
  <c r="AM62" i="149"/>
  <c r="AL62" i="149"/>
  <c r="AK62" i="149"/>
  <c r="AJ62" i="149"/>
  <c r="AI62" i="149"/>
  <c r="AH62" i="149"/>
  <c r="AG62" i="149"/>
  <c r="AD62" i="149"/>
  <c r="Y62" i="149"/>
  <c r="X62" i="149"/>
  <c r="W62" i="149"/>
  <c r="V62" i="149"/>
  <c r="U62" i="149"/>
  <c r="T62" i="149"/>
  <c r="I62" i="149"/>
  <c r="H62" i="149"/>
  <c r="G62" i="149"/>
  <c r="F62" i="149"/>
  <c r="E62" i="149"/>
  <c r="D62" i="149"/>
  <c r="P61" i="149"/>
  <c r="M61" i="149"/>
  <c r="C61" i="149"/>
  <c r="S60" i="149"/>
  <c r="P60" i="149"/>
  <c r="M60" i="149"/>
  <c r="C60" i="149"/>
  <c r="S59" i="149"/>
  <c r="P59" i="149"/>
  <c r="M59" i="149"/>
  <c r="M58" i="149" s="1"/>
  <c r="C59" i="149"/>
  <c r="AR58" i="149"/>
  <c r="AQ58" i="149"/>
  <c r="AO58" i="149"/>
  <c r="AC58" i="149"/>
  <c r="AA58" i="149"/>
  <c r="P58" i="149"/>
  <c r="O58" i="149"/>
  <c r="P57" i="149"/>
  <c r="M57" i="149"/>
  <c r="C57" i="149"/>
  <c r="AD56" i="149"/>
  <c r="S56" i="149"/>
  <c r="P56" i="149"/>
  <c r="O56" i="149"/>
  <c r="M56" i="149" s="1"/>
  <c r="C56" i="149"/>
  <c r="AD55" i="149"/>
  <c r="S55" i="149"/>
  <c r="P55" i="149"/>
  <c r="O55" i="149"/>
  <c r="M55" i="149" s="1"/>
  <c r="C55" i="149"/>
  <c r="AQ54" i="149"/>
  <c r="AO54" i="149"/>
  <c r="AF54" i="149"/>
  <c r="AC54" i="149"/>
  <c r="AA54" i="149"/>
  <c r="AR53" i="149"/>
  <c r="AQ53" i="149"/>
  <c r="AP53" i="149"/>
  <c r="AO53" i="149"/>
  <c r="AN53" i="149"/>
  <c r="AF53" i="149"/>
  <c r="AE53" i="149"/>
  <c r="AC53" i="149"/>
  <c r="AB53" i="149"/>
  <c r="AA53" i="149"/>
  <c r="Z53" i="149"/>
  <c r="S53" i="149"/>
  <c r="R53" i="149"/>
  <c r="Q53" i="149"/>
  <c r="P53" i="149"/>
  <c r="O53" i="149"/>
  <c r="N53" i="149"/>
  <c r="K53" i="149"/>
  <c r="J53" i="149"/>
  <c r="AQ52" i="149"/>
  <c r="AP52" i="149"/>
  <c r="AO52" i="149"/>
  <c r="AN52" i="149"/>
  <c r="AE52" i="149"/>
  <c r="AE40" i="149" s="1"/>
  <c r="AC52" i="149"/>
  <c r="AB52" i="149"/>
  <c r="AA52" i="149"/>
  <c r="Z52" i="149"/>
  <c r="Z40" i="149" s="1"/>
  <c r="R52" i="149"/>
  <c r="Q52" i="149"/>
  <c r="P52" i="149"/>
  <c r="N52" i="149"/>
  <c r="K52" i="149"/>
  <c r="J52" i="149"/>
  <c r="AQ51" i="149"/>
  <c r="AP51" i="149"/>
  <c r="AO51" i="149"/>
  <c r="AN51" i="149"/>
  <c r="AN39" i="149" s="1"/>
  <c r="AE51" i="149"/>
  <c r="AC51" i="149"/>
  <c r="AB51" i="149"/>
  <c r="AB39" i="149" s="1"/>
  <c r="AA51" i="149"/>
  <c r="Z51" i="149"/>
  <c r="S51" i="149"/>
  <c r="R51" i="149"/>
  <c r="R50" i="149" s="1"/>
  <c r="Q51" i="149"/>
  <c r="P51" i="149"/>
  <c r="N51" i="149"/>
  <c r="K51" i="149"/>
  <c r="J51" i="149"/>
  <c r="AM50" i="149"/>
  <c r="AL50" i="149"/>
  <c r="AK50" i="149"/>
  <c r="AJ50" i="149"/>
  <c r="AI50" i="149"/>
  <c r="AH50" i="149"/>
  <c r="AG50" i="149"/>
  <c r="Y50" i="149"/>
  <c r="X50" i="149"/>
  <c r="W50" i="149"/>
  <c r="V50" i="149"/>
  <c r="U50" i="149"/>
  <c r="T50" i="149"/>
  <c r="I50" i="149"/>
  <c r="H50" i="149"/>
  <c r="G50" i="149"/>
  <c r="F50" i="149"/>
  <c r="E50" i="149"/>
  <c r="D50" i="149"/>
  <c r="M49" i="149"/>
  <c r="L49" i="149" s="1"/>
  <c r="S48" i="149"/>
  <c r="P48" i="149"/>
  <c r="M48" i="149"/>
  <c r="C48" i="149"/>
  <c r="S47" i="149"/>
  <c r="P47" i="149"/>
  <c r="M47" i="149"/>
  <c r="M46" i="149" s="1"/>
  <c r="C47" i="149"/>
  <c r="C46" i="149" s="1"/>
  <c r="AR46" i="149"/>
  <c r="AQ46" i="149"/>
  <c r="AP46" i="149"/>
  <c r="AO46" i="149"/>
  <c r="AN46" i="149"/>
  <c r="AM46" i="149"/>
  <c r="AL46" i="149"/>
  <c r="AK46" i="149"/>
  <c r="AJ46" i="149"/>
  <c r="AI46" i="149"/>
  <c r="AH46" i="149"/>
  <c r="AG46" i="149"/>
  <c r="AE46" i="149"/>
  <c r="AC46" i="149"/>
  <c r="AB46" i="149"/>
  <c r="AA46" i="149"/>
  <c r="Z46" i="149"/>
  <c r="Y46" i="149"/>
  <c r="X46" i="149"/>
  <c r="W46" i="149"/>
  <c r="V46" i="149"/>
  <c r="U46" i="149"/>
  <c r="T46" i="149"/>
  <c r="R46" i="149"/>
  <c r="O46" i="149"/>
  <c r="K46" i="149"/>
  <c r="M45" i="149"/>
  <c r="L45" i="149" s="1"/>
  <c r="AG44" i="149"/>
  <c r="AD44" i="149"/>
  <c r="S44" i="149"/>
  <c r="P44" i="149"/>
  <c r="M44" i="149"/>
  <c r="K44" i="149"/>
  <c r="K42" i="149" s="1"/>
  <c r="AG43" i="149"/>
  <c r="AD43" i="149"/>
  <c r="AA43" i="149"/>
  <c r="S43" i="149" s="1"/>
  <c r="AR43" i="149" s="1"/>
  <c r="P43" i="149"/>
  <c r="M43" i="149"/>
  <c r="L43" i="149" s="1"/>
  <c r="C43" i="149"/>
  <c r="AS42" i="149"/>
  <c r="AQ42" i="149"/>
  <c r="AP42" i="149"/>
  <c r="AO42" i="149"/>
  <c r="AN42" i="149"/>
  <c r="AM42" i="149"/>
  <c r="AL42" i="149"/>
  <c r="AK42" i="149"/>
  <c r="AJ42" i="149"/>
  <c r="AI42" i="149"/>
  <c r="AH42" i="149"/>
  <c r="AF42" i="149"/>
  <c r="AC42" i="149"/>
  <c r="AB42" i="149"/>
  <c r="Z42" i="149"/>
  <c r="R42" i="149"/>
  <c r="Q42" i="149"/>
  <c r="O42" i="149"/>
  <c r="P41" i="149"/>
  <c r="P40" i="149"/>
  <c r="P39" i="149"/>
  <c r="AM38" i="149"/>
  <c r="AL38" i="149"/>
  <c r="AK38" i="149"/>
  <c r="AJ38" i="149"/>
  <c r="AI38" i="149"/>
  <c r="AH38" i="149"/>
  <c r="AG38" i="149"/>
  <c r="Y38" i="149"/>
  <c r="X38" i="149"/>
  <c r="W38" i="149"/>
  <c r="V38" i="149"/>
  <c r="U38" i="149"/>
  <c r="T38" i="149"/>
  <c r="S37" i="149"/>
  <c r="P37" i="149"/>
  <c r="M37" i="149"/>
  <c r="C37" i="149"/>
  <c r="S36" i="149"/>
  <c r="P36" i="149"/>
  <c r="P35" i="149" s="1"/>
  <c r="P34" i="149" s="1"/>
  <c r="M36" i="149"/>
  <c r="M35" i="149" s="1"/>
  <c r="M34" i="149" s="1"/>
  <c r="C36" i="149"/>
  <c r="C35" i="149" s="1"/>
  <c r="C34" i="149" s="1"/>
  <c r="AC35" i="149"/>
  <c r="AC34" i="149" s="1"/>
  <c r="R35" i="149"/>
  <c r="R34" i="149" s="1"/>
  <c r="O35" i="149"/>
  <c r="O34" i="149" s="1"/>
  <c r="K35" i="149"/>
  <c r="K34" i="149" s="1"/>
  <c r="S33" i="149"/>
  <c r="C33" i="149"/>
  <c r="S32" i="149"/>
  <c r="C32" i="149"/>
  <c r="AC31" i="149"/>
  <c r="AC30" i="149" s="1"/>
  <c r="K31" i="149"/>
  <c r="K30" i="149" s="1"/>
  <c r="S29" i="149"/>
  <c r="AG28" i="149"/>
  <c r="S28" i="149"/>
  <c r="M28" i="149"/>
  <c r="M27" i="149" s="1"/>
  <c r="C28" i="149"/>
  <c r="C27" i="149" s="1"/>
  <c r="AC27" i="149"/>
  <c r="K27" i="149"/>
  <c r="K23" i="149" s="1"/>
  <c r="M26" i="149"/>
  <c r="AF26" i="149" s="1"/>
  <c r="AF13" i="149" s="1"/>
  <c r="C26" i="149"/>
  <c r="AC25" i="149"/>
  <c r="S25" i="149" s="1"/>
  <c r="M25" i="149"/>
  <c r="C25" i="149"/>
  <c r="AB24" i="149"/>
  <c r="O24" i="149"/>
  <c r="O23" i="149" s="1"/>
  <c r="L23" i="149"/>
  <c r="J23" i="149"/>
  <c r="I23" i="149"/>
  <c r="H23" i="149"/>
  <c r="G23" i="149"/>
  <c r="F23" i="149"/>
  <c r="E23" i="149"/>
  <c r="D23" i="149"/>
  <c r="AG22" i="149"/>
  <c r="AD22" i="149"/>
  <c r="S22" i="149"/>
  <c r="P22" i="149"/>
  <c r="M22" i="149"/>
  <c r="C22" i="149"/>
  <c r="AG21" i="149"/>
  <c r="AD21" i="149"/>
  <c r="S21" i="149"/>
  <c r="P21" i="149"/>
  <c r="M21" i="149"/>
  <c r="C21" i="149"/>
  <c r="AG20" i="149"/>
  <c r="AD20" i="149"/>
  <c r="S20" i="149"/>
  <c r="P20" i="149"/>
  <c r="M20" i="149"/>
  <c r="C20" i="149"/>
  <c r="AQ19" i="149"/>
  <c r="AP19" i="149"/>
  <c r="AO19" i="149"/>
  <c r="AN19" i="149"/>
  <c r="AM19" i="149"/>
  <c r="AL19" i="149"/>
  <c r="AK19" i="149"/>
  <c r="AJ19" i="149"/>
  <c r="AI19" i="149"/>
  <c r="AH19" i="149"/>
  <c r="AF19" i="149"/>
  <c r="AE19" i="149"/>
  <c r="AC19" i="149"/>
  <c r="AB19" i="149"/>
  <c r="AA19" i="149"/>
  <c r="Z19" i="149"/>
  <c r="Y19" i="149"/>
  <c r="X19" i="149"/>
  <c r="W19" i="149"/>
  <c r="V19" i="149"/>
  <c r="U19" i="149"/>
  <c r="T19" i="149"/>
  <c r="J19" i="149"/>
  <c r="C14" i="149"/>
  <c r="AE13" i="149"/>
  <c r="AC13" i="149"/>
  <c r="AB13" i="149"/>
  <c r="AA13" i="149"/>
  <c r="Z13" i="149"/>
  <c r="R13" i="149"/>
  <c r="Q13" i="149"/>
  <c r="O13" i="149"/>
  <c r="N13" i="149"/>
  <c r="K13" i="149"/>
  <c r="J13" i="149"/>
  <c r="AE12" i="149"/>
  <c r="AB12" i="149"/>
  <c r="AA12" i="149"/>
  <c r="Z12" i="149"/>
  <c r="R12" i="149"/>
  <c r="Q12" i="149"/>
  <c r="O12" i="149"/>
  <c r="N12" i="149"/>
  <c r="K12" i="149"/>
  <c r="J12" i="149"/>
  <c r="AQ11" i="149"/>
  <c r="AP11" i="149"/>
  <c r="AO11" i="149"/>
  <c r="AN11" i="149"/>
  <c r="AM11" i="149"/>
  <c r="AL11" i="149"/>
  <c r="AK11" i="149"/>
  <c r="AJ11" i="149"/>
  <c r="AI11" i="149"/>
  <c r="AH11" i="149"/>
  <c r="AG11" i="149"/>
  <c r="Y11" i="149"/>
  <c r="X11" i="149"/>
  <c r="W11" i="149"/>
  <c r="V11" i="149"/>
  <c r="U11" i="149"/>
  <c r="T11" i="149"/>
  <c r="P11" i="149"/>
  <c r="P156" i="138"/>
  <c r="L156" i="138" s="1"/>
  <c r="P158" i="138"/>
  <c r="L158" i="138" s="1"/>
  <c r="P159" i="138"/>
  <c r="L159" i="138" s="1"/>
  <c r="P160" i="138"/>
  <c r="L160" i="138" s="1"/>
  <c r="AQ160" i="138" s="1"/>
  <c r="AG160" i="138" s="1"/>
  <c r="P161" i="138"/>
  <c r="L161" i="138" s="1"/>
  <c r="P162" i="138"/>
  <c r="L162" i="138" s="1"/>
  <c r="P163" i="138"/>
  <c r="L163" i="138" s="1"/>
  <c r="P164" i="138"/>
  <c r="L164" i="138" s="1"/>
  <c r="P165" i="138"/>
  <c r="L165" i="138" s="1"/>
  <c r="AQ165" i="138" s="1"/>
  <c r="AG165" i="138" s="1"/>
  <c r="P166" i="138"/>
  <c r="L166" i="138" s="1"/>
  <c r="P167" i="138"/>
  <c r="L167" i="138" s="1"/>
  <c r="P168" i="138"/>
  <c r="L168" i="138" s="1"/>
  <c r="P169" i="138"/>
  <c r="L169" i="138" s="1"/>
  <c r="AQ169" i="138" s="1"/>
  <c r="AG169" i="138" s="1"/>
  <c r="P170" i="138"/>
  <c r="L170" i="138" s="1"/>
  <c r="AF170" i="138" s="1"/>
  <c r="P171" i="138"/>
  <c r="P173" i="138"/>
  <c r="L173" i="138" s="1"/>
  <c r="P174" i="138"/>
  <c r="L174" i="138" s="1"/>
  <c r="AF174" i="138" s="1"/>
  <c r="AD174" i="138" s="1"/>
  <c r="P155" i="138"/>
  <c r="P172" i="138"/>
  <c r="L172" i="138" s="1"/>
  <c r="R157" i="138"/>
  <c r="R131" i="138" s="1"/>
  <c r="S133" i="138"/>
  <c r="S134" i="138"/>
  <c r="S132" i="138"/>
  <c r="M133" i="138"/>
  <c r="L133" i="138" s="1"/>
  <c r="M134" i="138"/>
  <c r="L134" i="138" s="1"/>
  <c r="M132" i="138"/>
  <c r="M131" i="138" l="1"/>
  <c r="S131" i="138"/>
  <c r="AD170" i="138"/>
  <c r="AD131" i="138" s="1"/>
  <c r="AF131" i="138"/>
  <c r="P157" i="138"/>
  <c r="L157" i="138" s="1"/>
  <c r="AQ157" i="138" s="1"/>
  <c r="L132" i="138"/>
  <c r="L155" i="138"/>
  <c r="L171" i="138"/>
  <c r="P4" i="138"/>
  <c r="AL10" i="149"/>
  <c r="L157" i="149"/>
  <c r="S4" i="149"/>
  <c r="L20" i="149"/>
  <c r="AF89" i="149"/>
  <c r="AD89" i="149" s="1"/>
  <c r="Z127" i="149"/>
  <c r="P90" i="149"/>
  <c r="AN74" i="149"/>
  <c r="Q119" i="149"/>
  <c r="AD115" i="149"/>
  <c r="AD114" i="149" s="1"/>
  <c r="C122" i="149"/>
  <c r="AO50" i="149"/>
  <c r="R41" i="149"/>
  <c r="AB41" i="149"/>
  <c r="AN41" i="149"/>
  <c r="AR41" i="149"/>
  <c r="AA41" i="149"/>
  <c r="P42" i="149"/>
  <c r="L84" i="149"/>
  <c r="Q127" i="149"/>
  <c r="N74" i="149"/>
  <c r="AP74" i="149"/>
  <c r="L85" i="149"/>
  <c r="R119" i="149"/>
  <c r="O89" i="149"/>
  <c r="U10" i="149"/>
  <c r="Y10" i="149"/>
  <c r="L61" i="149"/>
  <c r="L69" i="149"/>
  <c r="C76" i="149"/>
  <c r="L79" i="149"/>
  <c r="AC89" i="149"/>
  <c r="K40" i="149"/>
  <c r="AC39" i="149"/>
  <c r="P74" i="149"/>
  <c r="AH10" i="149"/>
  <c r="AP39" i="149"/>
  <c r="L22" i="149"/>
  <c r="J74" i="149"/>
  <c r="AJ10" i="149"/>
  <c r="AC88" i="149"/>
  <c r="AR104" i="149"/>
  <c r="AR92" i="149" s="1"/>
  <c r="AG19" i="149"/>
  <c r="AA50" i="149"/>
  <c r="AF62" i="149"/>
  <c r="AQ62" i="149"/>
  <c r="O41" i="149"/>
  <c r="AO41" i="149"/>
  <c r="L71" i="149"/>
  <c r="L73" i="149"/>
  <c r="K90" i="149"/>
  <c r="AC90" i="149"/>
  <c r="AR33" i="149"/>
  <c r="O51" i="149"/>
  <c r="O39" i="149" s="1"/>
  <c r="N89" i="149"/>
  <c r="V104" i="149"/>
  <c r="AN86" i="149"/>
  <c r="T10" i="149"/>
  <c r="X10" i="149"/>
  <c r="AI10" i="149"/>
  <c r="AM10" i="149"/>
  <c r="AA11" i="149"/>
  <c r="K11" i="149"/>
  <c r="M19" i="149"/>
  <c r="AD19" i="149"/>
  <c r="S27" i="149"/>
  <c r="O52" i="149"/>
  <c r="M52" i="149" s="1"/>
  <c r="L52" i="149" s="1"/>
  <c r="Q74" i="149"/>
  <c r="AB74" i="149"/>
  <c r="AP40" i="149"/>
  <c r="M77" i="149"/>
  <c r="L77" i="149" s="1"/>
  <c r="Q87" i="149"/>
  <c r="Q86" i="149" s="1"/>
  <c r="J89" i="149"/>
  <c r="C110" i="149"/>
  <c r="L117" i="149"/>
  <c r="AR117" i="149" s="1"/>
  <c r="K119" i="149"/>
  <c r="AP119" i="149"/>
  <c r="AD127" i="149"/>
  <c r="C12" i="149"/>
  <c r="M13" i="149"/>
  <c r="L13" i="149" s="1"/>
  <c r="V10" i="149"/>
  <c r="AK10" i="149"/>
  <c r="R39" i="149"/>
  <c r="AD42" i="149"/>
  <c r="AN50" i="149"/>
  <c r="AP41" i="149"/>
  <c r="S54" i="149"/>
  <c r="R74" i="149"/>
  <c r="M82" i="149"/>
  <c r="K88" i="149"/>
  <c r="S123" i="149"/>
  <c r="P19" i="149"/>
  <c r="S35" i="149"/>
  <c r="S34" i="149" s="1"/>
  <c r="AA39" i="149"/>
  <c r="AQ50" i="149"/>
  <c r="S52" i="149"/>
  <c r="S50" i="149" s="1"/>
  <c r="AD54" i="149"/>
  <c r="C58" i="149"/>
  <c r="AO62" i="149"/>
  <c r="M63" i="149"/>
  <c r="L63" i="149" s="1"/>
  <c r="AC62" i="149"/>
  <c r="K62" i="149"/>
  <c r="AB40" i="149"/>
  <c r="AN62" i="149"/>
  <c r="C65" i="149"/>
  <c r="P62" i="149"/>
  <c r="S78" i="149"/>
  <c r="K89" i="149"/>
  <c r="C106" i="149"/>
  <c r="M115" i="149"/>
  <c r="M114" i="149" s="1"/>
  <c r="C115" i="149"/>
  <c r="C114" i="149" s="1"/>
  <c r="S115" i="149"/>
  <c r="S114" i="149" s="1"/>
  <c r="AB119" i="149"/>
  <c r="AR89" i="149"/>
  <c r="R127" i="149"/>
  <c r="AD13" i="149"/>
  <c r="AA42" i="149"/>
  <c r="S42" i="149"/>
  <c r="O62" i="149"/>
  <c r="AO40" i="149"/>
  <c r="K41" i="149"/>
  <c r="Q41" i="149"/>
  <c r="AA62" i="149"/>
  <c r="AF41" i="149"/>
  <c r="AQ41" i="149"/>
  <c r="C70" i="149"/>
  <c r="C78" i="149"/>
  <c r="AQ82" i="149"/>
  <c r="AG89" i="149"/>
  <c r="W102" i="149"/>
  <c r="L107" i="149"/>
  <c r="AF107" i="149" s="1"/>
  <c r="M106" i="149"/>
  <c r="S110" i="149"/>
  <c r="P115" i="149"/>
  <c r="P114" i="149" s="1"/>
  <c r="AA119" i="149"/>
  <c r="AN119" i="149"/>
  <c r="O127" i="149"/>
  <c r="AC74" i="149"/>
  <c r="W10" i="149"/>
  <c r="M12" i="149"/>
  <c r="L12" i="149" s="1"/>
  <c r="C13" i="149"/>
  <c r="AR32" i="149"/>
  <c r="AR36" i="149"/>
  <c r="AR37" i="149"/>
  <c r="AB50" i="149"/>
  <c r="Q50" i="149"/>
  <c r="C53" i="149"/>
  <c r="P50" i="149"/>
  <c r="Z50" i="149"/>
  <c r="K39" i="149"/>
  <c r="M78" i="149"/>
  <c r="AA86" i="149"/>
  <c r="N88" i="149"/>
  <c r="Z94" i="149"/>
  <c r="L111" i="149"/>
  <c r="AR111" i="149" s="1"/>
  <c r="S121" i="149"/>
  <c r="AQ119" i="149"/>
  <c r="S122" i="149"/>
  <c r="C127" i="149"/>
  <c r="AC127" i="149"/>
  <c r="Q39" i="149"/>
  <c r="Q11" i="149"/>
  <c r="AB11" i="149"/>
  <c r="Z11" i="149"/>
  <c r="AR28" i="149"/>
  <c r="AR27" i="149" s="1"/>
  <c r="C31" i="149"/>
  <c r="C30" i="149" s="1"/>
  <c r="S31" i="149"/>
  <c r="S30" i="149" s="1"/>
  <c r="L37" i="149"/>
  <c r="Q40" i="149"/>
  <c r="J41" i="149"/>
  <c r="AG42" i="149"/>
  <c r="AC50" i="149"/>
  <c r="M53" i="149"/>
  <c r="L53" i="149" s="1"/>
  <c r="N41" i="149"/>
  <c r="L57" i="149"/>
  <c r="M75" i="149"/>
  <c r="L75" i="149" s="1"/>
  <c r="O74" i="149"/>
  <c r="Z74" i="149"/>
  <c r="Z39" i="149"/>
  <c r="AE74" i="149"/>
  <c r="AE39" i="149"/>
  <c r="P82" i="149"/>
  <c r="C75" i="149"/>
  <c r="K74" i="149"/>
  <c r="S13" i="149"/>
  <c r="C24" i="149"/>
  <c r="C23" i="149" s="1"/>
  <c r="P38" i="149"/>
  <c r="P10" i="149" s="1"/>
  <c r="Z62" i="149"/>
  <c r="AE62" i="149"/>
  <c r="AP62" i="149"/>
  <c r="L21" i="149"/>
  <c r="N39" i="149"/>
  <c r="Z41" i="149"/>
  <c r="S46" i="149"/>
  <c r="AC41" i="149"/>
  <c r="O54" i="149"/>
  <c r="C54" i="149"/>
  <c r="S58" i="149"/>
  <c r="Q62" i="149"/>
  <c r="AR103" i="149"/>
  <c r="R11" i="149"/>
  <c r="O11" i="149"/>
  <c r="AR20" i="149"/>
  <c r="S19" i="149"/>
  <c r="M24" i="149"/>
  <c r="M23" i="149" s="1"/>
  <c r="AR44" i="149"/>
  <c r="AR42" i="149" s="1"/>
  <c r="L48" i="149"/>
  <c r="AF48" i="149" s="1"/>
  <c r="AD48" i="149" s="1"/>
  <c r="C51" i="149"/>
  <c r="AF59" i="149"/>
  <c r="AF51" i="149" s="1"/>
  <c r="AD51" i="149" s="1"/>
  <c r="AF60" i="149"/>
  <c r="AD60" i="149" s="1"/>
  <c r="C63" i="149"/>
  <c r="M65" i="149"/>
  <c r="L65" i="149" s="1"/>
  <c r="C77" i="149"/>
  <c r="L80" i="149"/>
  <c r="AP87" i="149"/>
  <c r="AP86" i="149" s="1"/>
  <c r="V96" i="149"/>
  <c r="S96" i="149" s="1"/>
  <c r="C102" i="149"/>
  <c r="V103" i="149"/>
  <c r="AP103" i="149" s="1"/>
  <c r="S106" i="149"/>
  <c r="P110" i="149"/>
  <c r="AE119" i="149"/>
  <c r="S127" i="149"/>
  <c r="AA127" i="149"/>
  <c r="AQ88" i="149"/>
  <c r="AQ86" i="149" s="1"/>
  <c r="K87" i="149"/>
  <c r="C87" i="149" s="1"/>
  <c r="AD110" i="149"/>
  <c r="X127" i="149"/>
  <c r="AB127" i="149"/>
  <c r="L72" i="149"/>
  <c r="M76" i="149"/>
  <c r="L76" i="149" s="1"/>
  <c r="P78" i="149"/>
  <c r="S76" i="149"/>
  <c r="R87" i="149"/>
  <c r="R86" i="149" s="1"/>
  <c r="Z88" i="149"/>
  <c r="AB89" i="149"/>
  <c r="AB86" i="149" s="1"/>
  <c r="L108" i="149"/>
  <c r="AF108" i="149" s="1"/>
  <c r="AD108" i="149" s="1"/>
  <c r="Y127" i="149"/>
  <c r="AF25" i="149"/>
  <c r="S24" i="149"/>
  <c r="L44" i="149"/>
  <c r="L42" i="149" s="1"/>
  <c r="M42" i="149"/>
  <c r="AO119" i="149"/>
  <c r="AO88" i="149"/>
  <c r="J39" i="149"/>
  <c r="AN40" i="149"/>
  <c r="L47" i="149"/>
  <c r="P46" i="149"/>
  <c r="AE50" i="149"/>
  <c r="AE41" i="149"/>
  <c r="AF52" i="149"/>
  <c r="AD52" i="149" s="1"/>
  <c r="M64" i="149"/>
  <c r="L64" i="149" s="1"/>
  <c r="N40" i="149"/>
  <c r="N62" i="149"/>
  <c r="R40" i="149"/>
  <c r="R62" i="149"/>
  <c r="S70" i="149"/>
  <c r="S64" i="149"/>
  <c r="S82" i="149"/>
  <c r="S75" i="149"/>
  <c r="AE86" i="149"/>
  <c r="V97" i="149"/>
  <c r="S97" i="149" s="1"/>
  <c r="W94" i="149"/>
  <c r="M125" i="149"/>
  <c r="L125" i="149" s="1"/>
  <c r="AF125" i="149" s="1"/>
  <c r="O121" i="149"/>
  <c r="O119" i="149" s="1"/>
  <c r="S63" i="149"/>
  <c r="S66" i="149"/>
  <c r="V100" i="149"/>
  <c r="S100" i="149" s="1"/>
  <c r="AF100" i="149" s="1"/>
  <c r="AF92" i="149" s="1"/>
  <c r="W98" i="149"/>
  <c r="L128" i="149"/>
  <c r="M127" i="149"/>
  <c r="J11" i="149"/>
  <c r="N11" i="149"/>
  <c r="AC12" i="149"/>
  <c r="AC11" i="149" s="1"/>
  <c r="J50" i="149"/>
  <c r="AR55" i="149"/>
  <c r="L55" i="149"/>
  <c r="M54" i="149"/>
  <c r="AB62" i="149"/>
  <c r="AR67" i="149"/>
  <c r="L68" i="149"/>
  <c r="AR68" i="149" s="1"/>
  <c r="AR64" i="149" s="1"/>
  <c r="M66" i="149"/>
  <c r="AA40" i="149"/>
  <c r="AA74" i="149"/>
  <c r="M91" i="149"/>
  <c r="N87" i="149"/>
  <c r="C121" i="149"/>
  <c r="J119" i="149"/>
  <c r="J88" i="149"/>
  <c r="AE11" i="149"/>
  <c r="AC24" i="149"/>
  <c r="AC23" i="149" s="1"/>
  <c r="AC40" i="149"/>
  <c r="N50" i="149"/>
  <c r="AP50" i="149"/>
  <c r="C52" i="149"/>
  <c r="K50" i="149"/>
  <c r="P54" i="149"/>
  <c r="AR56" i="149"/>
  <c r="AR52" i="149" s="1"/>
  <c r="L56" i="149"/>
  <c r="C64" i="149"/>
  <c r="J40" i="149"/>
  <c r="C40" i="149" s="1"/>
  <c r="J62" i="149"/>
  <c r="P70" i="149"/>
  <c r="AO74" i="149"/>
  <c r="AO39" i="149"/>
  <c r="M94" i="149"/>
  <c r="L95" i="149"/>
  <c r="L94" i="149" s="1"/>
  <c r="C44" i="149"/>
  <c r="C42" i="149" s="1"/>
  <c r="L60" i="149"/>
  <c r="L67" i="149"/>
  <c r="AR79" i="149"/>
  <c r="L81" i="149"/>
  <c r="C82" i="149"/>
  <c r="O90" i="149"/>
  <c r="O87" i="149"/>
  <c r="C92" i="149"/>
  <c r="V95" i="149"/>
  <c r="L98" i="149"/>
  <c r="M110" i="149"/>
  <c r="C120" i="149"/>
  <c r="AC119" i="149"/>
  <c r="L36" i="149"/>
  <c r="L59" i="149"/>
  <c r="AF83" i="149"/>
  <c r="C91" i="149"/>
  <c r="M93" i="149"/>
  <c r="L93" i="149" s="1"/>
  <c r="M98" i="149"/>
  <c r="L105" i="149"/>
  <c r="L102" i="149" s="1"/>
  <c r="M102" i="149"/>
  <c r="N119" i="149"/>
  <c r="L129" i="149"/>
  <c r="AR129" i="149" s="1"/>
  <c r="AR121" i="149" s="1"/>
  <c r="AR80" i="149"/>
  <c r="AF84" i="149"/>
  <c r="AF76" i="149" s="1"/>
  <c r="S91" i="149"/>
  <c r="S90" i="149" s="1"/>
  <c r="AC87" i="149"/>
  <c r="M92" i="149"/>
  <c r="L92" i="149" s="1"/>
  <c r="V99" i="149"/>
  <c r="L112" i="149"/>
  <c r="AR112" i="149" s="1"/>
  <c r="L116" i="149"/>
  <c r="S120" i="149"/>
  <c r="Z119" i="149"/>
  <c r="Z87" i="149"/>
  <c r="M124" i="149"/>
  <c r="O123" i="149"/>
  <c r="N127" i="149"/>
  <c r="P127" i="149"/>
  <c r="L83" i="149"/>
  <c r="L131" i="138" l="1"/>
  <c r="AG157" i="138"/>
  <c r="AG131" i="138" s="1"/>
  <c r="AQ131" i="138"/>
  <c r="P131" i="138"/>
  <c r="M39" i="149"/>
  <c r="L39" i="149" s="1"/>
  <c r="AR102" i="149"/>
  <c r="S23" i="149"/>
  <c r="C89" i="149"/>
  <c r="M11" i="149"/>
  <c r="S88" i="149"/>
  <c r="C41" i="149"/>
  <c r="K38" i="149"/>
  <c r="AR31" i="149"/>
  <c r="AR30" i="149" s="1"/>
  <c r="M89" i="149"/>
  <c r="L89" i="149" s="1"/>
  <c r="AC86" i="149"/>
  <c r="AP38" i="149"/>
  <c r="L35" i="149"/>
  <c r="L34" i="149" s="1"/>
  <c r="AB38" i="149"/>
  <c r="AB10" i="149" s="1"/>
  <c r="L82" i="149"/>
  <c r="AN38" i="149"/>
  <c r="AN10" i="149" s="1"/>
  <c r="AR12" i="149"/>
  <c r="O88" i="149"/>
  <c r="M88" i="149" s="1"/>
  <c r="L88" i="149" s="1"/>
  <c r="M51" i="149"/>
  <c r="L51" i="149" s="1"/>
  <c r="L50" i="149" s="1"/>
  <c r="L19" i="149"/>
  <c r="AF106" i="149"/>
  <c r="L78" i="149"/>
  <c r="R38" i="149"/>
  <c r="R10" i="149" s="1"/>
  <c r="O50" i="149"/>
  <c r="L70" i="149"/>
  <c r="M41" i="149"/>
  <c r="L41" i="149" s="1"/>
  <c r="AR35" i="149"/>
  <c r="AR34" i="149" s="1"/>
  <c r="L11" i="149"/>
  <c r="V102" i="149"/>
  <c r="AF40" i="149"/>
  <c r="AD40" i="149" s="1"/>
  <c r="AG87" i="149"/>
  <c r="L115" i="149"/>
  <c r="L114" i="149" s="1"/>
  <c r="AC38" i="149"/>
  <c r="S74" i="149"/>
  <c r="C50" i="149"/>
  <c r="S89" i="149"/>
  <c r="AO38" i="149"/>
  <c r="O40" i="149"/>
  <c r="O38" i="149" s="1"/>
  <c r="AF58" i="149"/>
  <c r="AP10" i="149"/>
  <c r="C11" i="149"/>
  <c r="S39" i="149"/>
  <c r="S104" i="149"/>
  <c r="AD107" i="149"/>
  <c r="AD106" i="149" s="1"/>
  <c r="AP104" i="149"/>
  <c r="AP102" i="149" s="1"/>
  <c r="S119" i="149"/>
  <c r="C62" i="149"/>
  <c r="AR21" i="149"/>
  <c r="AR13" i="149" s="1"/>
  <c r="Q38" i="149"/>
  <c r="Q10" i="149" s="1"/>
  <c r="L62" i="149"/>
  <c r="S41" i="149"/>
  <c r="L106" i="149"/>
  <c r="L74" i="149"/>
  <c r="AR88" i="149"/>
  <c r="AR95" i="149"/>
  <c r="AR94" i="149" s="1"/>
  <c r="AD59" i="149"/>
  <c r="AD58" i="149" s="1"/>
  <c r="S103" i="149"/>
  <c r="M74" i="149"/>
  <c r="M62" i="149"/>
  <c r="AF50" i="149"/>
  <c r="L66" i="149"/>
  <c r="K86" i="149"/>
  <c r="K10" i="149" s="1"/>
  <c r="L4" i="149" s="1"/>
  <c r="C90" i="149"/>
  <c r="Z38" i="149"/>
  <c r="C74" i="149"/>
  <c r="N86" i="149"/>
  <c r="M87" i="149"/>
  <c r="AR66" i="149"/>
  <c r="AR63" i="149"/>
  <c r="AR62" i="149" s="1"/>
  <c r="M121" i="149"/>
  <c r="L121" i="149" s="1"/>
  <c r="AD92" i="149"/>
  <c r="L91" i="149"/>
  <c r="L90" i="149" s="1"/>
  <c r="M90" i="149"/>
  <c r="S62" i="149"/>
  <c r="AD125" i="149"/>
  <c r="AF121" i="149"/>
  <c r="AF88" i="149" s="1"/>
  <c r="AD88" i="149" s="1"/>
  <c r="AE38" i="149"/>
  <c r="AE10" i="149" s="1"/>
  <c r="AD41" i="149"/>
  <c r="S87" i="149"/>
  <c r="Z86" i="149"/>
  <c r="AF47" i="149"/>
  <c r="L46" i="149"/>
  <c r="AQ80" i="149"/>
  <c r="AQ76" i="149" s="1"/>
  <c r="AQ40" i="149" s="1"/>
  <c r="AR76" i="149"/>
  <c r="AR40" i="149" s="1"/>
  <c r="AR116" i="149"/>
  <c r="AR115" i="149" s="1"/>
  <c r="AR114" i="149" s="1"/>
  <c r="AF82" i="149"/>
  <c r="AF75" i="149"/>
  <c r="AF74" i="149" s="1"/>
  <c r="AR110" i="149"/>
  <c r="S12" i="149"/>
  <c r="S11" i="149" s="1"/>
  <c r="J127" i="149"/>
  <c r="F127" i="149"/>
  <c r="I127" i="149"/>
  <c r="L127" i="149"/>
  <c r="H127" i="149"/>
  <c r="K127" i="149"/>
  <c r="G127" i="149"/>
  <c r="AR128" i="149"/>
  <c r="N38" i="149"/>
  <c r="AD50" i="149"/>
  <c r="C39" i="149"/>
  <c r="C38" i="149" s="1"/>
  <c r="E38" i="149"/>
  <c r="D38" i="149"/>
  <c r="J38" i="149"/>
  <c r="S99" i="149"/>
  <c r="V98" i="149"/>
  <c r="AR54" i="149"/>
  <c r="AR51" i="149"/>
  <c r="L124" i="149"/>
  <c r="M120" i="149"/>
  <c r="M123" i="149"/>
  <c r="L58" i="149"/>
  <c r="C119" i="149"/>
  <c r="AP95" i="149"/>
  <c r="AP94" i="149" s="1"/>
  <c r="S95" i="149"/>
  <c r="S94" i="149" s="1"/>
  <c r="V94" i="149"/>
  <c r="AR78" i="149"/>
  <c r="AR75" i="149"/>
  <c r="AQ79" i="149"/>
  <c r="J86" i="149"/>
  <c r="C88" i="149"/>
  <c r="C86" i="149" s="1"/>
  <c r="E86" i="149"/>
  <c r="D86" i="149"/>
  <c r="L110" i="149"/>
  <c r="AA38" i="149"/>
  <c r="AA10" i="149" s="1"/>
  <c r="S40" i="149"/>
  <c r="L54" i="149"/>
  <c r="AG88" i="149"/>
  <c r="AO86" i="149"/>
  <c r="AF24" i="149"/>
  <c r="AF23" i="149" s="1"/>
  <c r="AF12" i="149"/>
  <c r="AR19" i="149" l="1"/>
  <c r="AC10" i="149"/>
  <c r="O86" i="149"/>
  <c r="AR11" i="149"/>
  <c r="M50" i="149"/>
  <c r="AR91" i="149"/>
  <c r="AR90" i="149" s="1"/>
  <c r="AG86" i="149"/>
  <c r="AG10" i="149" s="1"/>
  <c r="N10" i="149"/>
  <c r="Z10" i="149"/>
  <c r="AO10" i="149"/>
  <c r="S86" i="149"/>
  <c r="S102" i="149"/>
  <c r="S38" i="149"/>
  <c r="O10" i="149"/>
  <c r="M40" i="149"/>
  <c r="M38" i="149" s="1"/>
  <c r="J10" i="149"/>
  <c r="AR74" i="149"/>
  <c r="M119" i="149"/>
  <c r="L120" i="149"/>
  <c r="L119" i="149" s="1"/>
  <c r="AQ78" i="149"/>
  <c r="AQ75" i="149"/>
  <c r="L87" i="149"/>
  <c r="M86" i="149"/>
  <c r="F123" i="149"/>
  <c r="I123" i="149"/>
  <c r="H123" i="149"/>
  <c r="AF124" i="149"/>
  <c r="G123" i="149"/>
  <c r="L123" i="149"/>
  <c r="S98" i="149"/>
  <c r="AF99" i="149"/>
  <c r="AF11" i="149"/>
  <c r="AD12" i="149"/>
  <c r="AD11" i="149" s="1"/>
  <c r="AR50" i="149"/>
  <c r="AR39" i="149"/>
  <c r="AR38" i="149" s="1"/>
  <c r="C10" i="149"/>
  <c r="AP127" i="149"/>
  <c r="AL127" i="149"/>
  <c r="AO127" i="149"/>
  <c r="AR120" i="149"/>
  <c r="AR119" i="149" s="1"/>
  <c r="AR127" i="149"/>
  <c r="AN127" i="149"/>
  <c r="AQ127" i="149"/>
  <c r="AM127" i="149"/>
  <c r="AD47" i="149"/>
  <c r="AD46" i="149" s="1"/>
  <c r="AF46" i="149"/>
  <c r="AF39" i="149"/>
  <c r="S10" i="149" l="1"/>
  <c r="S1" i="149" s="1"/>
  <c r="L40" i="149"/>
  <c r="I38" i="149" s="1"/>
  <c r="M10" i="149"/>
  <c r="AR87" i="149"/>
  <c r="AR86" i="149" s="1"/>
  <c r="AR10" i="149" s="1"/>
  <c r="AF98" i="149"/>
  <c r="AF91" i="149"/>
  <c r="AD124" i="149"/>
  <c r="AD123" i="149" s="1"/>
  <c r="AF120" i="149"/>
  <c r="AF119" i="149" s="1"/>
  <c r="AF123" i="149"/>
  <c r="AF38" i="149"/>
  <c r="AD39" i="149"/>
  <c r="AD38" i="149" s="1"/>
  <c r="L38" i="149"/>
  <c r="F38" i="149"/>
  <c r="H38" i="149"/>
  <c r="H86" i="149"/>
  <c r="L86" i="149"/>
  <c r="I86" i="149"/>
  <c r="G86" i="149"/>
  <c r="F86" i="149"/>
  <c r="AQ74" i="149"/>
  <c r="AQ39" i="149"/>
  <c r="AQ38" i="149" s="1"/>
  <c r="AQ10" i="149" s="1"/>
  <c r="G38" i="149" l="1"/>
  <c r="AF90" i="149"/>
  <c r="AF87" i="149"/>
  <c r="AD91" i="149"/>
  <c r="AD90" i="149" s="1"/>
  <c r="L10" i="149"/>
  <c r="AF86" i="149" l="1"/>
  <c r="AF10" i="149" s="1"/>
  <c r="AD87" i="149"/>
  <c r="AD86" i="149" s="1"/>
  <c r="AD10" i="149" s="1"/>
  <c r="AC93" i="138" l="1"/>
  <c r="AC92" i="138"/>
  <c r="AC91" i="138"/>
  <c r="O91" i="138"/>
  <c r="N120" i="138"/>
  <c r="N121" i="138"/>
  <c r="J121" i="138"/>
  <c r="K121" i="138"/>
  <c r="J122" i="138"/>
  <c r="K122" i="138"/>
  <c r="K120" i="138"/>
  <c r="J120" i="138"/>
  <c r="P119" i="138"/>
  <c r="T119" i="138"/>
  <c r="U119" i="138"/>
  <c r="V119" i="138"/>
  <c r="W119" i="138"/>
  <c r="X119" i="138"/>
  <c r="Y119" i="138"/>
  <c r="AD119" i="138"/>
  <c r="AG119" i="138"/>
  <c r="AH119" i="138"/>
  <c r="AI119" i="138"/>
  <c r="AJ119" i="138"/>
  <c r="AK119" i="138"/>
  <c r="AL119" i="138"/>
  <c r="AM119" i="138"/>
  <c r="K115" i="138"/>
  <c r="K114" i="138" s="1"/>
  <c r="N115" i="138"/>
  <c r="N114" i="138" s="1"/>
  <c r="O115" i="138"/>
  <c r="O114" i="138" s="1"/>
  <c r="Q115" i="138"/>
  <c r="Q114" i="138" s="1"/>
  <c r="R115" i="138"/>
  <c r="R114" i="138" s="1"/>
  <c r="T115" i="138"/>
  <c r="T114" i="138" s="1"/>
  <c r="U115" i="138"/>
  <c r="U114" i="138" s="1"/>
  <c r="V115" i="138"/>
  <c r="V114" i="138" s="1"/>
  <c r="W115" i="138"/>
  <c r="W114" i="138" s="1"/>
  <c r="X115" i="138"/>
  <c r="X114" i="138" s="1"/>
  <c r="Y115" i="138"/>
  <c r="Y114" i="138" s="1"/>
  <c r="Z115" i="138"/>
  <c r="Z114" i="138" s="1"/>
  <c r="AA115" i="138"/>
  <c r="AA114" i="138" s="1"/>
  <c r="AB115" i="138"/>
  <c r="AB114" i="138" s="1"/>
  <c r="AC115" i="138"/>
  <c r="AC114" i="138" s="1"/>
  <c r="AE115" i="138"/>
  <c r="AE114" i="138" s="1"/>
  <c r="AF115" i="138"/>
  <c r="AF114" i="138" s="1"/>
  <c r="AG115" i="138"/>
  <c r="AG114" i="138" s="1"/>
  <c r="AH115" i="138"/>
  <c r="AH114" i="138" s="1"/>
  <c r="AI115" i="138"/>
  <c r="AI114" i="138" s="1"/>
  <c r="AJ115" i="138"/>
  <c r="AJ114" i="138" s="1"/>
  <c r="AK115" i="138"/>
  <c r="AK114" i="138" s="1"/>
  <c r="AL115" i="138"/>
  <c r="AL114" i="138" s="1"/>
  <c r="AM115" i="138"/>
  <c r="AM114" i="138" s="1"/>
  <c r="AN115" i="138"/>
  <c r="AN114" i="138" s="1"/>
  <c r="AO115" i="138"/>
  <c r="AO114" i="138" s="1"/>
  <c r="AP115" i="138"/>
  <c r="AP114" i="138" s="1"/>
  <c r="AQ115" i="138"/>
  <c r="AQ114" i="138" s="1"/>
  <c r="J115" i="138"/>
  <c r="J114" i="138" s="1"/>
  <c r="D114" i="138"/>
  <c r="E114" i="138"/>
  <c r="F114" i="138"/>
  <c r="G114" i="138"/>
  <c r="H114" i="138"/>
  <c r="I114" i="138"/>
  <c r="N110" i="138"/>
  <c r="O110" i="138"/>
  <c r="Q110" i="138"/>
  <c r="R110" i="138"/>
  <c r="T110" i="138"/>
  <c r="U110" i="138"/>
  <c r="V110" i="138"/>
  <c r="W110" i="138"/>
  <c r="X110" i="138"/>
  <c r="Y110" i="138"/>
  <c r="Z110" i="138"/>
  <c r="AA110" i="138"/>
  <c r="AB110" i="138"/>
  <c r="AC110" i="138"/>
  <c r="AE110" i="138"/>
  <c r="AF110" i="138"/>
  <c r="AG110" i="138"/>
  <c r="AH110" i="138"/>
  <c r="AI110" i="138"/>
  <c r="AJ110" i="138"/>
  <c r="AK110" i="138"/>
  <c r="AL110" i="138"/>
  <c r="AM110" i="138"/>
  <c r="AN110" i="138"/>
  <c r="AO110" i="138"/>
  <c r="AP110" i="138"/>
  <c r="AQ110" i="138"/>
  <c r="C120" i="138" l="1"/>
  <c r="J119" i="138"/>
  <c r="K119" i="138"/>
  <c r="G28" i="78" l="1"/>
  <c r="F28" i="78"/>
  <c r="AE13" i="138"/>
  <c r="AE12" i="138"/>
  <c r="AC13" i="138"/>
  <c r="AB13" i="138"/>
  <c r="AB12" i="138"/>
  <c r="AA13" i="138"/>
  <c r="Z13" i="138"/>
  <c r="AA12" i="138"/>
  <c r="Z12" i="138"/>
  <c r="O13" i="138"/>
  <c r="N13" i="138"/>
  <c r="O12" i="138"/>
  <c r="N12" i="138"/>
  <c r="U11" i="138"/>
  <c r="C26" i="138"/>
  <c r="C25" i="138"/>
  <c r="C28" i="138"/>
  <c r="AC27" i="138"/>
  <c r="K27" i="138"/>
  <c r="K23" i="138" s="1"/>
  <c r="P11" i="138"/>
  <c r="T11" i="138"/>
  <c r="V11" i="138"/>
  <c r="W11" i="138"/>
  <c r="X11" i="138"/>
  <c r="Y11" i="138"/>
  <c r="AG11" i="138"/>
  <c r="AH11" i="138"/>
  <c r="AI11" i="138"/>
  <c r="AJ11" i="138"/>
  <c r="AK11" i="138"/>
  <c r="AL11" i="138"/>
  <c r="AM11" i="138"/>
  <c r="AN11" i="138"/>
  <c r="AO11" i="138"/>
  <c r="AP11" i="138"/>
  <c r="AQ11" i="138"/>
  <c r="C14" i="138"/>
  <c r="K13" i="138"/>
  <c r="J13" i="138"/>
  <c r="K12" i="138"/>
  <c r="J12" i="138"/>
  <c r="D23" i="138"/>
  <c r="E23" i="138"/>
  <c r="F23" i="138"/>
  <c r="G23" i="138"/>
  <c r="H23" i="138"/>
  <c r="I23" i="138"/>
  <c r="J23" i="138"/>
  <c r="L23" i="138"/>
  <c r="AR93" i="138"/>
  <c r="AR122" i="138"/>
  <c r="AF93" i="138"/>
  <c r="P86" i="138"/>
  <c r="T86" i="138"/>
  <c r="U86" i="138"/>
  <c r="V86" i="138"/>
  <c r="W86" i="138"/>
  <c r="X86" i="138"/>
  <c r="Y86" i="138"/>
  <c r="AH86" i="138"/>
  <c r="AI86" i="138"/>
  <c r="AJ86" i="138"/>
  <c r="AK86" i="138"/>
  <c r="AL86" i="138"/>
  <c r="AM86" i="138"/>
  <c r="O92" i="138"/>
  <c r="K92" i="138"/>
  <c r="K93" i="138"/>
  <c r="K91" i="138"/>
  <c r="N123" i="138"/>
  <c r="Q123" i="138"/>
  <c r="R123" i="138"/>
  <c r="T123" i="138"/>
  <c r="U123" i="138"/>
  <c r="V123" i="138"/>
  <c r="W123" i="138"/>
  <c r="X123" i="138"/>
  <c r="Y123" i="138"/>
  <c r="Z123" i="138"/>
  <c r="AA123" i="138"/>
  <c r="AB123" i="138"/>
  <c r="AC123" i="138"/>
  <c r="AE123" i="138"/>
  <c r="AG123" i="138"/>
  <c r="AH123" i="138"/>
  <c r="AI123" i="138"/>
  <c r="AJ123" i="138"/>
  <c r="AK123" i="138"/>
  <c r="AL123" i="138"/>
  <c r="AM123" i="138"/>
  <c r="AN123" i="138"/>
  <c r="AO123" i="138"/>
  <c r="AP123" i="138"/>
  <c r="AQ123" i="138"/>
  <c r="AR123" i="138"/>
  <c r="K123" i="138"/>
  <c r="D123" i="138"/>
  <c r="E123" i="138"/>
  <c r="O125" i="138"/>
  <c r="O124" i="138"/>
  <c r="O120" i="138" s="1"/>
  <c r="D127" i="138"/>
  <c r="E127" i="138"/>
  <c r="T127" i="138"/>
  <c r="U127" i="138"/>
  <c r="V127" i="138"/>
  <c r="W127" i="138"/>
  <c r="AH127" i="138"/>
  <c r="AI127" i="138"/>
  <c r="AJ127" i="138"/>
  <c r="AK127" i="138"/>
  <c r="D94" i="138"/>
  <c r="E94" i="138"/>
  <c r="F94" i="138"/>
  <c r="G94" i="138"/>
  <c r="H94" i="138"/>
  <c r="I94" i="138"/>
  <c r="J94" i="138"/>
  <c r="K94" i="138"/>
  <c r="N94" i="138"/>
  <c r="O94" i="138"/>
  <c r="P94" i="138"/>
  <c r="Q94" i="138"/>
  <c r="R94" i="138"/>
  <c r="T94" i="138"/>
  <c r="U94" i="138"/>
  <c r="X94" i="138"/>
  <c r="Y94" i="138"/>
  <c r="AA94" i="138"/>
  <c r="AB94" i="138"/>
  <c r="AC94" i="138"/>
  <c r="AD94" i="138"/>
  <c r="AE94" i="138"/>
  <c r="AF94" i="138"/>
  <c r="AG94" i="138"/>
  <c r="AH94" i="138"/>
  <c r="AI94" i="138"/>
  <c r="AJ94" i="138"/>
  <c r="AK94" i="138"/>
  <c r="AL94" i="138"/>
  <c r="AM94" i="138"/>
  <c r="AN94" i="138"/>
  <c r="AO94" i="138"/>
  <c r="AQ94" i="138"/>
  <c r="D98" i="138"/>
  <c r="E98" i="138"/>
  <c r="F98" i="138"/>
  <c r="G98" i="138"/>
  <c r="H98" i="138"/>
  <c r="I98" i="138"/>
  <c r="J98" i="138"/>
  <c r="K98" i="138"/>
  <c r="N98" i="138"/>
  <c r="O98" i="138"/>
  <c r="P98" i="138"/>
  <c r="Q98" i="138"/>
  <c r="R98" i="138"/>
  <c r="T98" i="138"/>
  <c r="U98" i="138"/>
  <c r="X98" i="138"/>
  <c r="Y98" i="138"/>
  <c r="AA98" i="138"/>
  <c r="AB98" i="138"/>
  <c r="AC98" i="138"/>
  <c r="AD98" i="138"/>
  <c r="AE98" i="138"/>
  <c r="AG98" i="138"/>
  <c r="AH98" i="138"/>
  <c r="AI98" i="138"/>
  <c r="AJ98" i="138"/>
  <c r="AK98" i="138"/>
  <c r="AL98" i="138"/>
  <c r="AM98" i="138"/>
  <c r="AN98" i="138"/>
  <c r="AO98" i="138"/>
  <c r="AP98" i="138"/>
  <c r="AQ98" i="138"/>
  <c r="AR98" i="138"/>
  <c r="AS98" i="138"/>
  <c r="D102" i="138"/>
  <c r="E102" i="138"/>
  <c r="F102" i="138"/>
  <c r="G102" i="138"/>
  <c r="H102" i="138"/>
  <c r="I102" i="138"/>
  <c r="J102" i="138"/>
  <c r="K102" i="138"/>
  <c r="N102" i="138"/>
  <c r="O102" i="138"/>
  <c r="P102" i="138"/>
  <c r="Q102" i="138"/>
  <c r="R102" i="138"/>
  <c r="T102" i="138"/>
  <c r="U102" i="138"/>
  <c r="X102" i="138"/>
  <c r="Y102" i="138"/>
  <c r="AA102" i="138"/>
  <c r="AB102" i="138"/>
  <c r="AC102" i="138"/>
  <c r="AD102" i="138"/>
  <c r="AE102" i="138"/>
  <c r="AF102" i="138"/>
  <c r="AG102" i="138"/>
  <c r="AH102" i="138"/>
  <c r="AI102" i="138"/>
  <c r="AJ102" i="138"/>
  <c r="AK102" i="138"/>
  <c r="AL102" i="138"/>
  <c r="AM102" i="138"/>
  <c r="AN102" i="138"/>
  <c r="AO102" i="138"/>
  <c r="AQ102" i="138"/>
  <c r="M100" i="138"/>
  <c r="L100" i="138" s="1"/>
  <c r="M99" i="138"/>
  <c r="AC120" i="138"/>
  <c r="AC121" i="138"/>
  <c r="AC88" i="138" s="1"/>
  <c r="C105" i="138"/>
  <c r="C104" i="138"/>
  <c r="C103" i="138"/>
  <c r="C101" i="138"/>
  <c r="C100" i="138"/>
  <c r="C99" i="138"/>
  <c r="C96" i="138"/>
  <c r="C97" i="138"/>
  <c r="C95" i="138"/>
  <c r="L122" i="138"/>
  <c r="J90" i="138"/>
  <c r="M95" i="138"/>
  <c r="N91" i="138"/>
  <c r="M105" i="138"/>
  <c r="L105" i="138" s="1"/>
  <c r="M104" i="138"/>
  <c r="L104" i="138" s="1"/>
  <c r="M103" i="138"/>
  <c r="M101" i="138"/>
  <c r="L101" i="138" s="1"/>
  <c r="M96" i="138"/>
  <c r="L96" i="138" s="1"/>
  <c r="M97" i="138"/>
  <c r="L97" i="138" s="1"/>
  <c r="N92" i="138"/>
  <c r="N93" i="138"/>
  <c r="O93" i="138"/>
  <c r="W105" i="138"/>
  <c r="V105" i="138" s="1"/>
  <c r="S105" i="138" s="1"/>
  <c r="Z104" i="138"/>
  <c r="W104" i="138"/>
  <c r="Z103" i="138"/>
  <c r="W103" i="138"/>
  <c r="AS102" i="138"/>
  <c r="W101" i="138"/>
  <c r="V101" i="138" s="1"/>
  <c r="S101" i="138" s="1"/>
  <c r="Z100" i="138"/>
  <c r="W100" i="138"/>
  <c r="V100" i="138" s="1"/>
  <c r="S100" i="138" s="1"/>
  <c r="Z99" i="138"/>
  <c r="W99" i="138"/>
  <c r="W97" i="138"/>
  <c r="V97" i="138" s="1"/>
  <c r="S97" i="138" s="1"/>
  <c r="Z96" i="138"/>
  <c r="W96" i="138"/>
  <c r="Z95" i="138"/>
  <c r="W95" i="138"/>
  <c r="AS94" i="138"/>
  <c r="AB11" i="138" l="1"/>
  <c r="AF100" i="138"/>
  <c r="AF92" i="138" s="1"/>
  <c r="C12" i="138"/>
  <c r="M98" i="138"/>
  <c r="O123" i="138"/>
  <c r="AR89" i="138"/>
  <c r="C13" i="138"/>
  <c r="W94" i="138"/>
  <c r="W98" i="138"/>
  <c r="L99" i="138"/>
  <c r="L98" i="138" s="1"/>
  <c r="AR104" i="138"/>
  <c r="AR92" i="138" s="1"/>
  <c r="AE11" i="138"/>
  <c r="Z94" i="138"/>
  <c r="Z98" i="138"/>
  <c r="Z102" i="138"/>
  <c r="M92" i="138"/>
  <c r="C94" i="138"/>
  <c r="C98" i="138"/>
  <c r="C102" i="138"/>
  <c r="O11" i="138"/>
  <c r="R11" i="138"/>
  <c r="AA11" i="138"/>
  <c r="J11" i="138"/>
  <c r="V103" i="138"/>
  <c r="C27" i="138"/>
  <c r="N11" i="138"/>
  <c r="M13" i="138"/>
  <c r="L13" i="138" s="1"/>
  <c r="Q11" i="138"/>
  <c r="Z11" i="138"/>
  <c r="S13" i="138"/>
  <c r="V99" i="138"/>
  <c r="M102" i="138"/>
  <c r="AC119" i="138"/>
  <c r="AC87" i="138"/>
  <c r="W102" i="138"/>
  <c r="C24" i="138"/>
  <c r="M94" i="138"/>
  <c r="M125" i="138"/>
  <c r="O121" i="138"/>
  <c r="C11" i="138"/>
  <c r="M12" i="138"/>
  <c r="K11" i="138"/>
  <c r="K90" i="138"/>
  <c r="L103" i="138"/>
  <c r="L102" i="138" s="1"/>
  <c r="M91" i="138"/>
  <c r="V104" i="138"/>
  <c r="S104" i="138" s="1"/>
  <c r="L95" i="138"/>
  <c r="L94" i="138" s="1"/>
  <c r="V95" i="138"/>
  <c r="V96" i="138"/>
  <c r="S96" i="138" s="1"/>
  <c r="AP104" i="138" l="1"/>
  <c r="C23" i="138"/>
  <c r="AR95" i="138"/>
  <c r="AR94" i="138" s="1"/>
  <c r="L12" i="138"/>
  <c r="L11" i="138" s="1"/>
  <c r="M11" i="138"/>
  <c r="S99" i="138"/>
  <c r="V98" i="138"/>
  <c r="S95" i="138"/>
  <c r="S94" i="138" s="1"/>
  <c r="V94" i="138"/>
  <c r="AP103" i="138"/>
  <c r="V102" i="138"/>
  <c r="S103" i="138"/>
  <c r="S102" i="138" s="1"/>
  <c r="AR103" i="138"/>
  <c r="AR102" i="138" s="1"/>
  <c r="AP95" i="138"/>
  <c r="AP94" i="138" s="1"/>
  <c r="AP102" i="138" l="1"/>
  <c r="S98" i="138"/>
  <c r="AF99" i="138"/>
  <c r="AR91" i="138"/>
  <c r="AF91" i="138" l="1"/>
  <c r="AD91" i="138" s="1"/>
  <c r="AF98" i="138"/>
  <c r="AQ120" i="138" l="1"/>
  <c r="AQ87" i="138" s="1"/>
  <c r="AP122" i="138"/>
  <c r="AP89" i="138" s="1"/>
  <c r="AQ121" i="138"/>
  <c r="AQ88" i="138" s="1"/>
  <c r="AP121" i="138"/>
  <c r="AP88" i="138" s="1"/>
  <c r="AP120" i="138"/>
  <c r="AP87" i="138" s="1"/>
  <c r="AO122" i="138"/>
  <c r="AO89" i="138" s="1"/>
  <c r="AN122" i="138"/>
  <c r="AN89" i="138" s="1"/>
  <c r="AO121" i="138"/>
  <c r="AO88" i="138" s="1"/>
  <c r="AN121" i="138"/>
  <c r="AN88" i="138" s="1"/>
  <c r="AO120" i="138"/>
  <c r="AN120" i="138"/>
  <c r="AE122" i="138"/>
  <c r="AE89" i="138" s="1"/>
  <c r="AE121" i="138"/>
  <c r="AE88" i="138" s="1"/>
  <c r="AE120" i="138"/>
  <c r="AC89" i="138"/>
  <c r="AC86" i="138" s="1"/>
  <c r="AB122" i="138"/>
  <c r="AB89" i="138" s="1"/>
  <c r="AB121" i="138"/>
  <c r="AB88" i="138" s="1"/>
  <c r="AB120" i="138"/>
  <c r="AA122" i="138"/>
  <c r="AA89" i="138" s="1"/>
  <c r="Z122" i="138"/>
  <c r="Z89" i="138" s="1"/>
  <c r="AA121" i="138"/>
  <c r="Z121" i="138"/>
  <c r="Z88" i="138" s="1"/>
  <c r="AA120" i="138"/>
  <c r="Z120" i="138"/>
  <c r="Z87" i="138" s="1"/>
  <c r="Q89" i="138"/>
  <c r="R121" i="138"/>
  <c r="R88" i="138" s="1"/>
  <c r="Q121" i="138"/>
  <c r="Q88" i="138" s="1"/>
  <c r="R120" i="138"/>
  <c r="Q120" i="138"/>
  <c r="O88" i="138"/>
  <c r="N122" i="138"/>
  <c r="S111" i="138"/>
  <c r="AQ89" i="138"/>
  <c r="AF89" i="138"/>
  <c r="N88" i="138"/>
  <c r="N87" i="138"/>
  <c r="K88" i="138"/>
  <c r="K89" i="138"/>
  <c r="K87" i="138"/>
  <c r="J88" i="138"/>
  <c r="J89" i="138"/>
  <c r="J87" i="138"/>
  <c r="S129" i="138"/>
  <c r="P129" i="138"/>
  <c r="S128" i="138"/>
  <c r="P128" i="138"/>
  <c r="S125" i="138"/>
  <c r="P125" i="138"/>
  <c r="S124" i="138"/>
  <c r="P124" i="138"/>
  <c r="S117" i="138"/>
  <c r="P117" i="138"/>
  <c r="S116" i="138"/>
  <c r="P116" i="138"/>
  <c r="S112" i="138"/>
  <c r="P112" i="138"/>
  <c r="P111" i="138"/>
  <c r="S108" i="138"/>
  <c r="P108" i="138"/>
  <c r="S107" i="138"/>
  <c r="P107" i="138"/>
  <c r="AR106" i="138"/>
  <c r="AQ106" i="138"/>
  <c r="AP106" i="138"/>
  <c r="AO106" i="138"/>
  <c r="AN106" i="138"/>
  <c r="AM106" i="138"/>
  <c r="AL106" i="138"/>
  <c r="AK106" i="138"/>
  <c r="AJ106" i="138"/>
  <c r="AI106" i="138"/>
  <c r="AH106" i="138"/>
  <c r="AG106" i="138"/>
  <c r="AE106" i="138"/>
  <c r="AC106" i="138"/>
  <c r="AB106" i="138"/>
  <c r="AA106" i="138"/>
  <c r="Z106" i="138"/>
  <c r="Y106" i="138"/>
  <c r="X106" i="138"/>
  <c r="W106" i="138"/>
  <c r="V106" i="138"/>
  <c r="U106" i="138"/>
  <c r="T106" i="138"/>
  <c r="R106" i="138"/>
  <c r="O106" i="138"/>
  <c r="S92" i="138"/>
  <c r="P92" i="138"/>
  <c r="S91" i="138"/>
  <c r="P91" i="138"/>
  <c r="L91" i="138" s="1"/>
  <c r="AR90" i="138"/>
  <c r="AQ90" i="138"/>
  <c r="AP90" i="138"/>
  <c r="AO90" i="138"/>
  <c r="AN90" i="138"/>
  <c r="AM90" i="138"/>
  <c r="AL90" i="138"/>
  <c r="AK90" i="138"/>
  <c r="AJ90" i="138"/>
  <c r="AI90" i="138"/>
  <c r="AH90" i="138"/>
  <c r="AG90" i="138"/>
  <c r="AE90" i="138"/>
  <c r="AC90" i="138"/>
  <c r="AB90" i="138"/>
  <c r="AA90" i="138"/>
  <c r="Z90" i="138"/>
  <c r="Y90" i="138"/>
  <c r="X90" i="138"/>
  <c r="W90" i="138"/>
  <c r="V90" i="138"/>
  <c r="U90" i="138"/>
  <c r="T90" i="138"/>
  <c r="R90" i="138"/>
  <c r="O90" i="138"/>
  <c r="AN119" i="138" l="1"/>
  <c r="AP86" i="138"/>
  <c r="AE119" i="138"/>
  <c r="AO119" i="138"/>
  <c r="P106" i="138"/>
  <c r="S115" i="138"/>
  <c r="S114" i="138" s="1"/>
  <c r="S123" i="138"/>
  <c r="S110" i="138"/>
  <c r="P110" i="138"/>
  <c r="AQ86" i="138"/>
  <c r="R87" i="138"/>
  <c r="R86" i="138" s="1"/>
  <c r="R119" i="138"/>
  <c r="Z86" i="138"/>
  <c r="AE87" i="138"/>
  <c r="AE86" i="138" s="1"/>
  <c r="O89" i="138"/>
  <c r="O119" i="138"/>
  <c r="Z119" i="138"/>
  <c r="AP119" i="138"/>
  <c r="Q127" i="138"/>
  <c r="R127" i="138"/>
  <c r="S127" i="138"/>
  <c r="Q119" i="138"/>
  <c r="AB87" i="138"/>
  <c r="AB86" i="138" s="1"/>
  <c r="AB119" i="138"/>
  <c r="AN87" i="138"/>
  <c r="AN86" i="138" s="1"/>
  <c r="N89" i="138"/>
  <c r="N86" i="138" s="1"/>
  <c r="N119" i="138"/>
  <c r="P115" i="138"/>
  <c r="P114" i="138" s="1"/>
  <c r="P123" i="138"/>
  <c r="P127" i="138"/>
  <c r="N127" i="138"/>
  <c r="O127" i="138"/>
  <c r="Q87" i="138"/>
  <c r="Q86" i="138" s="1"/>
  <c r="AA87" i="138"/>
  <c r="AA119" i="138"/>
  <c r="AQ119" i="138"/>
  <c r="K86" i="138"/>
  <c r="J86" i="138"/>
  <c r="C87" i="138"/>
  <c r="S106" i="138"/>
  <c r="M88" i="138"/>
  <c r="S121" i="138"/>
  <c r="P90" i="138"/>
  <c r="S120" i="138"/>
  <c r="S122" i="138"/>
  <c r="O87" i="138"/>
  <c r="M87" i="138" s="1"/>
  <c r="L87" i="138" s="1"/>
  <c r="AA88" i="138"/>
  <c r="S88" i="138" s="1"/>
  <c r="AO87" i="138"/>
  <c r="AD89" i="138"/>
  <c r="AG89" i="138"/>
  <c r="AG88" i="138"/>
  <c r="S89" i="138"/>
  <c r="M121" i="138"/>
  <c r="S90" i="138"/>
  <c r="S87" i="138" l="1"/>
  <c r="S86" i="138" s="1"/>
  <c r="AG87" i="138"/>
  <c r="AG86" i="138" s="1"/>
  <c r="AO86" i="138"/>
  <c r="S119" i="138"/>
  <c r="AA86" i="138"/>
  <c r="M89" i="138"/>
  <c r="L89" i="138" s="1"/>
  <c r="O86" i="138"/>
  <c r="L121" i="138"/>
  <c r="L88" i="138"/>
  <c r="L86" i="138" l="1"/>
  <c r="M86" i="138"/>
  <c r="AR53" i="138" l="1"/>
  <c r="AC64" i="138"/>
  <c r="C10" i="64" l="1"/>
  <c r="D10" i="64"/>
  <c r="C33" i="64"/>
  <c r="E10" i="64"/>
  <c r="E28" i="64"/>
  <c r="E26" i="64"/>
  <c r="E13" i="64"/>
  <c r="C8" i="64" l="1"/>
  <c r="E8" i="64"/>
  <c r="N11" i="64" s="1"/>
  <c r="D13" i="64"/>
  <c r="C15" i="64"/>
  <c r="C16" i="64"/>
  <c r="C17" i="64"/>
  <c r="C18" i="64"/>
  <c r="C19" i="64"/>
  <c r="C20" i="64"/>
  <c r="C21" i="64"/>
  <c r="C22" i="64"/>
  <c r="C23" i="64"/>
  <c r="C24" i="64"/>
  <c r="C25" i="64"/>
  <c r="C14" i="64"/>
  <c r="N8" i="64" l="1"/>
  <c r="N6" i="64"/>
  <c r="E60" i="134"/>
  <c r="D30" i="134"/>
  <c r="M15" i="83"/>
  <c r="R11" i="84" l="1"/>
  <c r="E56" i="134" l="1"/>
  <c r="D12" i="66" l="1"/>
  <c r="C17" i="66"/>
  <c r="F8" i="67" l="1"/>
  <c r="F7" i="67"/>
  <c r="F9" i="67"/>
  <c r="C11" i="139"/>
  <c r="C10" i="139"/>
  <c r="C9" i="139" s="1"/>
  <c r="F9" i="139"/>
  <c r="F25" i="139"/>
  <c r="F24" i="139" s="1"/>
  <c r="C15" i="139"/>
  <c r="C14" i="139"/>
  <c r="C13" i="139"/>
  <c r="F12" i="139"/>
  <c r="C19" i="139"/>
  <c r="C20" i="139"/>
  <c r="C18" i="139"/>
  <c r="F17" i="139"/>
  <c r="F16" i="139" s="1"/>
  <c r="F8" i="139" l="1"/>
  <c r="C17" i="139"/>
  <c r="C16" i="139" s="1"/>
  <c r="C12" i="139"/>
  <c r="C8" i="139" s="1"/>
  <c r="AD56" i="138" l="1"/>
  <c r="AD55" i="138"/>
  <c r="AR58" i="138"/>
  <c r="S83" i="138"/>
  <c r="AR77" i="138"/>
  <c r="AR65" i="138"/>
  <c r="AQ66" i="138"/>
  <c r="S71" i="138"/>
  <c r="S72" i="138"/>
  <c r="AA53" i="138"/>
  <c r="AQ84" i="138"/>
  <c r="S84" i="138"/>
  <c r="AQ83" i="138"/>
  <c r="AO75" i="138"/>
  <c r="AC82" i="138"/>
  <c r="AO76" i="138"/>
  <c r="AO78" i="138"/>
  <c r="AF78" i="138"/>
  <c r="AQ77" i="138"/>
  <c r="AP77" i="138"/>
  <c r="AO77" i="138"/>
  <c r="AN77" i="138"/>
  <c r="AF77" i="138"/>
  <c r="AE77" i="138"/>
  <c r="AC77" i="138"/>
  <c r="AB77" i="138"/>
  <c r="AA77" i="138"/>
  <c r="Z77" i="138"/>
  <c r="S77" i="138"/>
  <c r="AP76" i="138"/>
  <c r="AN76" i="138"/>
  <c r="AE76" i="138"/>
  <c r="AB76" i="138"/>
  <c r="Z76" i="138"/>
  <c r="AP75" i="138"/>
  <c r="AN75" i="138"/>
  <c r="AE75" i="138"/>
  <c r="AB75" i="138"/>
  <c r="Z75" i="138"/>
  <c r="AM74" i="138"/>
  <c r="AL74" i="138"/>
  <c r="AK74" i="138"/>
  <c r="AJ74" i="138"/>
  <c r="AI74" i="138"/>
  <c r="AH74" i="138"/>
  <c r="AG74" i="138"/>
  <c r="AD74" i="138"/>
  <c r="Y74" i="138"/>
  <c r="X74" i="138"/>
  <c r="W74" i="138"/>
  <c r="V74" i="138"/>
  <c r="U74" i="138"/>
  <c r="T74" i="138"/>
  <c r="AO70" i="138"/>
  <c r="AF70" i="138"/>
  <c r="AQ70" i="138"/>
  <c r="AC70" i="138"/>
  <c r="AO64" i="138"/>
  <c r="AA66" i="138"/>
  <c r="AO63" i="138"/>
  <c r="AF66" i="138"/>
  <c r="AQ65" i="138"/>
  <c r="AP65" i="138"/>
  <c r="AO65" i="138"/>
  <c r="AN65" i="138"/>
  <c r="AF65" i="138"/>
  <c r="AE65" i="138"/>
  <c r="AC65" i="138"/>
  <c r="AB65" i="138"/>
  <c r="AA65" i="138"/>
  <c r="Z65" i="138"/>
  <c r="S65" i="138"/>
  <c r="AQ64" i="138"/>
  <c r="AP64" i="138"/>
  <c r="AN64" i="138"/>
  <c r="AF64" i="138"/>
  <c r="AE64" i="138"/>
  <c r="AB64" i="138"/>
  <c r="Z64" i="138"/>
  <c r="AP63" i="138"/>
  <c r="AN63" i="138"/>
  <c r="AE63" i="138"/>
  <c r="AB63" i="138"/>
  <c r="Z63" i="138"/>
  <c r="AM62" i="138"/>
  <c r="AL62" i="138"/>
  <c r="AK62" i="138"/>
  <c r="AJ62" i="138"/>
  <c r="AI62" i="138"/>
  <c r="AH62" i="138"/>
  <c r="AG62" i="138"/>
  <c r="AD62" i="138"/>
  <c r="Y62" i="138"/>
  <c r="X62" i="138"/>
  <c r="W62" i="138"/>
  <c r="V62" i="138"/>
  <c r="U62" i="138"/>
  <c r="T62" i="138"/>
  <c r="S60" i="138"/>
  <c r="AQ58" i="138"/>
  <c r="AO58" i="138"/>
  <c r="S59" i="138"/>
  <c r="AC58" i="138"/>
  <c r="S53" i="138"/>
  <c r="Z51" i="138"/>
  <c r="S56" i="138"/>
  <c r="S55" i="138"/>
  <c r="S54" i="138" s="1"/>
  <c r="AQ52" i="138"/>
  <c r="AQ54" i="138"/>
  <c r="AF54" i="138"/>
  <c r="AC54" i="138"/>
  <c r="AC51" i="138"/>
  <c r="AQ53" i="138"/>
  <c r="AP53" i="138"/>
  <c r="AP52" i="138"/>
  <c r="AP51" i="138"/>
  <c r="AO53" i="138"/>
  <c r="AN53" i="138"/>
  <c r="AO52" i="138"/>
  <c r="AN52" i="138"/>
  <c r="AN51" i="138"/>
  <c r="AF53" i="138"/>
  <c r="AF41" i="138" s="1"/>
  <c r="AE53" i="138"/>
  <c r="AE52" i="138"/>
  <c r="AE51" i="138"/>
  <c r="AE39" i="138" s="1"/>
  <c r="AC53" i="138"/>
  <c r="AC41" i="138" s="1"/>
  <c r="AB53" i="138"/>
  <c r="AB52" i="138"/>
  <c r="AB51" i="138"/>
  <c r="Z53" i="138"/>
  <c r="Z52" i="138"/>
  <c r="Z40" i="138" s="1"/>
  <c r="Z39" i="138"/>
  <c r="N51" i="138"/>
  <c r="T50" i="138"/>
  <c r="U50" i="138"/>
  <c r="V50" i="138"/>
  <c r="W50" i="138"/>
  <c r="X50" i="138"/>
  <c r="Y50" i="138"/>
  <c r="AG50" i="138"/>
  <c r="AH50" i="138"/>
  <c r="AI50" i="138"/>
  <c r="AJ50" i="138"/>
  <c r="AK50" i="138"/>
  <c r="AL50" i="138"/>
  <c r="AM50" i="138"/>
  <c r="M43" i="138"/>
  <c r="Z42" i="138"/>
  <c r="S48" i="138"/>
  <c r="S47" i="138"/>
  <c r="T46" i="138"/>
  <c r="U46" i="138"/>
  <c r="V46" i="138"/>
  <c r="W46" i="138"/>
  <c r="X46" i="138"/>
  <c r="Y46" i="138"/>
  <c r="Z46" i="138"/>
  <c r="AA46" i="138"/>
  <c r="AB46" i="138"/>
  <c r="AC46" i="138"/>
  <c r="AE46" i="138"/>
  <c r="AG46" i="138"/>
  <c r="AH46" i="138"/>
  <c r="AI46" i="138"/>
  <c r="AJ46" i="138"/>
  <c r="AK46" i="138"/>
  <c r="AL46" i="138"/>
  <c r="AM46" i="138"/>
  <c r="AN46" i="138"/>
  <c r="AO46" i="138"/>
  <c r="AP46" i="138"/>
  <c r="AQ46" i="138"/>
  <c r="AR46" i="138"/>
  <c r="R46" i="138"/>
  <c r="AS42" i="138"/>
  <c r="AA43" i="138"/>
  <c r="S44" i="138"/>
  <c r="AH42" i="138"/>
  <c r="AI42" i="138"/>
  <c r="AJ42" i="138"/>
  <c r="AK42" i="138"/>
  <c r="AL42" i="138"/>
  <c r="AM42" i="138"/>
  <c r="AF42" i="138"/>
  <c r="AG44" i="138"/>
  <c r="AG43" i="138"/>
  <c r="AG28" i="138"/>
  <c r="AD44" i="138"/>
  <c r="AD43" i="138"/>
  <c r="AQ42" i="138"/>
  <c r="AP42" i="138"/>
  <c r="AO42" i="138"/>
  <c r="AN42" i="138"/>
  <c r="AC42" i="138"/>
  <c r="AB42" i="138"/>
  <c r="Q42" i="138"/>
  <c r="R42" i="138"/>
  <c r="AO41" i="138"/>
  <c r="AE41" i="138"/>
  <c r="T38" i="138"/>
  <c r="T10" i="138" s="1"/>
  <c r="T9" i="138" s="1"/>
  <c r="U38" i="138"/>
  <c r="U10" i="138" s="1"/>
  <c r="U9" i="138" s="1"/>
  <c r="V38" i="138"/>
  <c r="V10" i="138" s="1"/>
  <c r="V9" i="138" s="1"/>
  <c r="W38" i="138"/>
  <c r="W10" i="138" s="1"/>
  <c r="W9" i="138" s="1"/>
  <c r="X38" i="138"/>
  <c r="X10" i="138" s="1"/>
  <c r="X9" i="138" s="1"/>
  <c r="Y38" i="138"/>
  <c r="Y10" i="138" s="1"/>
  <c r="Y9" i="138" s="1"/>
  <c r="AG38" i="138"/>
  <c r="AG10" i="138" s="1"/>
  <c r="AG9" i="138" s="1"/>
  <c r="AH38" i="138"/>
  <c r="AH10" i="138" s="1"/>
  <c r="AH9" i="138" s="1"/>
  <c r="AI38" i="138"/>
  <c r="AI10" i="138" s="1"/>
  <c r="AI9" i="138" s="1"/>
  <c r="AJ38" i="138"/>
  <c r="AJ10" i="138" s="1"/>
  <c r="AJ9" i="138" s="1"/>
  <c r="AK38" i="138"/>
  <c r="AK10" i="138" s="1"/>
  <c r="AK9" i="138" s="1"/>
  <c r="AL38" i="138"/>
  <c r="AL10" i="138" s="1"/>
  <c r="AL9" i="138" s="1"/>
  <c r="AM38" i="138"/>
  <c r="AM10" i="138" s="1"/>
  <c r="AM9" i="138" s="1"/>
  <c r="S33" i="138"/>
  <c r="S36" i="138"/>
  <c r="M45" i="138"/>
  <c r="M44" i="138"/>
  <c r="N76" i="138"/>
  <c r="N75" i="138"/>
  <c r="M130" i="138"/>
  <c r="L130" i="138" s="1"/>
  <c r="M129" i="138"/>
  <c r="L129" i="138" s="1"/>
  <c r="AD129" i="138" s="1"/>
  <c r="M128" i="138"/>
  <c r="L128" i="138" s="1"/>
  <c r="M126" i="138"/>
  <c r="L126" i="138" s="1"/>
  <c r="L125" i="138"/>
  <c r="M124" i="138"/>
  <c r="M118" i="138"/>
  <c r="L118" i="138" s="1"/>
  <c r="M117" i="138"/>
  <c r="L117" i="138" s="1"/>
  <c r="M116" i="138"/>
  <c r="M113" i="138"/>
  <c r="L113" i="138" s="1"/>
  <c r="M112" i="138"/>
  <c r="L112" i="138" s="1"/>
  <c r="M111" i="138"/>
  <c r="M109" i="138"/>
  <c r="L109" i="138" s="1"/>
  <c r="M108" i="138"/>
  <c r="L108" i="138" s="1"/>
  <c r="AF108" i="138" s="1"/>
  <c r="AD108" i="138" s="1"/>
  <c r="M107" i="138"/>
  <c r="M93" i="138"/>
  <c r="L93" i="138" s="1"/>
  <c r="M85" i="138"/>
  <c r="M84" i="138"/>
  <c r="M83" i="138"/>
  <c r="M81" i="138"/>
  <c r="M80" i="138"/>
  <c r="M79" i="138"/>
  <c r="M73" i="138"/>
  <c r="M72" i="138"/>
  <c r="M71" i="138"/>
  <c r="M69" i="138"/>
  <c r="M68" i="138"/>
  <c r="M67" i="138"/>
  <c r="M61" i="138"/>
  <c r="M60" i="138"/>
  <c r="M59" i="138"/>
  <c r="AF59" i="138" s="1"/>
  <c r="M57" i="138"/>
  <c r="M49" i="138"/>
  <c r="L49" i="138" s="1"/>
  <c r="M48" i="138"/>
  <c r="M47" i="138"/>
  <c r="M36" i="138"/>
  <c r="D86" i="138"/>
  <c r="E86" i="138"/>
  <c r="F86" i="138"/>
  <c r="G86" i="138"/>
  <c r="H86" i="138"/>
  <c r="I86" i="138"/>
  <c r="C88" i="138"/>
  <c r="C89" i="138"/>
  <c r="C91" i="138"/>
  <c r="C92" i="138"/>
  <c r="C93" i="138"/>
  <c r="C107" i="138"/>
  <c r="C108" i="138"/>
  <c r="C109" i="138"/>
  <c r="C111" i="138"/>
  <c r="C112" i="138"/>
  <c r="C113" i="138"/>
  <c r="C116" i="138"/>
  <c r="C117" i="138"/>
  <c r="C118" i="138"/>
  <c r="C121" i="138"/>
  <c r="C122" i="138"/>
  <c r="C124" i="138"/>
  <c r="C125" i="138"/>
  <c r="C126" i="138"/>
  <c r="C128" i="138"/>
  <c r="C129" i="138"/>
  <c r="C130" i="138"/>
  <c r="K44" i="138"/>
  <c r="AR44" i="138" s="1"/>
  <c r="O82" i="138"/>
  <c r="O78" i="138"/>
  <c r="O70" i="138"/>
  <c r="O66" i="138"/>
  <c r="K66" i="138"/>
  <c r="O58" i="138"/>
  <c r="O56" i="138"/>
  <c r="M56" i="138" s="1"/>
  <c r="AR56" i="138" s="1"/>
  <c r="AR52" i="138" s="1"/>
  <c r="O55" i="138"/>
  <c r="Z74" i="138" l="1"/>
  <c r="AQ41" i="138"/>
  <c r="AP62" i="138"/>
  <c r="AQ82" i="138"/>
  <c r="Z62" i="138"/>
  <c r="C86" i="138"/>
  <c r="AF83" i="138"/>
  <c r="AF75" i="138" s="1"/>
  <c r="Z50" i="138"/>
  <c r="AP41" i="138"/>
  <c r="AF60" i="138"/>
  <c r="AF58" i="138" s="1"/>
  <c r="M115" i="138"/>
  <c r="M114" i="138" s="1"/>
  <c r="AD42" i="138"/>
  <c r="AG42" i="138"/>
  <c r="M110" i="138"/>
  <c r="C119" i="138"/>
  <c r="AR129" i="138"/>
  <c r="AR121" i="138" s="1"/>
  <c r="C123" i="138"/>
  <c r="C110" i="138"/>
  <c r="S46" i="138"/>
  <c r="AP74" i="138"/>
  <c r="AD117" i="138"/>
  <c r="AR117" i="138"/>
  <c r="AD112" i="138"/>
  <c r="AR112" i="138"/>
  <c r="C127" i="138"/>
  <c r="C115" i="138"/>
  <c r="C114" i="138" s="1"/>
  <c r="M120" i="138"/>
  <c r="M123" i="138"/>
  <c r="AA41" i="138"/>
  <c r="S43" i="138"/>
  <c r="S42" i="138" s="1"/>
  <c r="AF125" i="138"/>
  <c r="AD125" i="138" s="1"/>
  <c r="M127" i="138"/>
  <c r="O54" i="138"/>
  <c r="C106" i="138"/>
  <c r="C90" i="138"/>
  <c r="AE50" i="138"/>
  <c r="M55" i="138"/>
  <c r="AR55" i="138" s="1"/>
  <c r="AR54" i="138" s="1"/>
  <c r="AD54" i="138"/>
  <c r="AD59" i="138"/>
  <c r="AF51" i="138"/>
  <c r="AF52" i="138"/>
  <c r="AD52" i="138" s="1"/>
  <c r="L107" i="138"/>
  <c r="M106" i="138"/>
  <c r="AR128" i="138"/>
  <c r="AP50" i="138"/>
  <c r="AE62" i="138"/>
  <c r="AR41" i="138"/>
  <c r="L124" i="138"/>
  <c r="AF124" i="138" s="1"/>
  <c r="AB62" i="138"/>
  <c r="AF84" i="138"/>
  <c r="AF76" i="138" s="1"/>
  <c r="AF74" i="138" s="1"/>
  <c r="M66" i="138"/>
  <c r="L92" i="138"/>
  <c r="M90" i="138"/>
  <c r="L116" i="138"/>
  <c r="L115" i="138" s="1"/>
  <c r="L114" i="138" s="1"/>
  <c r="AO62" i="138"/>
  <c r="L111" i="138"/>
  <c r="AR43" i="138"/>
  <c r="AB39" i="138"/>
  <c r="AN40" i="138"/>
  <c r="AB74" i="138"/>
  <c r="AN74" i="138"/>
  <c r="AE74" i="138"/>
  <c r="AN50" i="138"/>
  <c r="S52" i="138"/>
  <c r="S51" i="138"/>
  <c r="AE40" i="138"/>
  <c r="AE38" i="138" s="1"/>
  <c r="AE10" i="138" s="1"/>
  <c r="AE9" i="138" s="1"/>
  <c r="AN62" i="138"/>
  <c r="AP40" i="138"/>
  <c r="AA82" i="138"/>
  <c r="S82" i="138"/>
  <c r="S79" i="138"/>
  <c r="AR79" i="138" s="1"/>
  <c r="AA78" i="138"/>
  <c r="AA75" i="138"/>
  <c r="AA76" i="138"/>
  <c r="S80" i="138"/>
  <c r="S76" i="138" s="1"/>
  <c r="AO74" i="138"/>
  <c r="AB41" i="138"/>
  <c r="AN41" i="138"/>
  <c r="AC76" i="138"/>
  <c r="AC78" i="138"/>
  <c r="AO82" i="138"/>
  <c r="AD41" i="138"/>
  <c r="AC75" i="138"/>
  <c r="AC74" i="138" s="1"/>
  <c r="S67" i="138"/>
  <c r="S63" i="138" s="1"/>
  <c r="AA63" i="138"/>
  <c r="S68" i="138"/>
  <c r="S64" i="138" s="1"/>
  <c r="AA64" i="138"/>
  <c r="AA70" i="138"/>
  <c r="S70" i="138"/>
  <c r="AO66" i="138"/>
  <c r="Z41" i="138"/>
  <c r="Z38" i="138" s="1"/>
  <c r="Z10" i="138" s="1"/>
  <c r="Z9" i="138" s="1"/>
  <c r="AF63" i="138"/>
  <c r="AF62" i="138" s="1"/>
  <c r="AQ63" i="138"/>
  <c r="AQ62" i="138" s="1"/>
  <c r="AC66" i="138"/>
  <c r="AO40" i="138"/>
  <c r="AC63" i="138"/>
  <c r="AC62" i="138" s="1"/>
  <c r="AA58" i="138"/>
  <c r="AA52" i="138"/>
  <c r="AN39" i="138"/>
  <c r="AB50" i="138"/>
  <c r="S58" i="138"/>
  <c r="AC52" i="138"/>
  <c r="AQ51" i="138"/>
  <c r="AQ50" i="138" s="1"/>
  <c r="AO54" i="138"/>
  <c r="AO51" i="138"/>
  <c r="AO39" i="138" s="1"/>
  <c r="AA51" i="138"/>
  <c r="AA54" i="138"/>
  <c r="AP39" i="138"/>
  <c r="AB40" i="138"/>
  <c r="AA42" i="138"/>
  <c r="AD60" i="138" l="1"/>
  <c r="AR127" i="138"/>
  <c r="AF121" i="138"/>
  <c r="AD58" i="138"/>
  <c r="AC40" i="138"/>
  <c r="AR51" i="138"/>
  <c r="AR50" i="138" s="1"/>
  <c r="AR88" i="138"/>
  <c r="AN38" i="138"/>
  <c r="AN10" i="138" s="1"/>
  <c r="AN9" i="138" s="1"/>
  <c r="AA40" i="138"/>
  <c r="AA39" i="138"/>
  <c r="AA38" i="138" s="1"/>
  <c r="AA10" i="138" s="1"/>
  <c r="AA9" i="138" s="1"/>
  <c r="AR120" i="138"/>
  <c r="AR119" i="138" s="1"/>
  <c r="AL127" i="138"/>
  <c r="AM127" i="138"/>
  <c r="L123" i="138"/>
  <c r="L120" i="138"/>
  <c r="L119" i="138" s="1"/>
  <c r="M119" i="138"/>
  <c r="AC39" i="138"/>
  <c r="S41" i="138"/>
  <c r="H123" i="138"/>
  <c r="AR116" i="138"/>
  <c r="AR115" i="138" s="1"/>
  <c r="AR114" i="138" s="1"/>
  <c r="AC50" i="138"/>
  <c r="I123" i="138"/>
  <c r="G123" i="138"/>
  <c r="L110" i="138"/>
  <c r="AR111" i="138"/>
  <c r="F123" i="138"/>
  <c r="AF123" i="138"/>
  <c r="AD51" i="138"/>
  <c r="AD50" i="138" s="1"/>
  <c r="F127" i="138"/>
  <c r="H127" i="138"/>
  <c r="I127" i="138"/>
  <c r="J127" i="138"/>
  <c r="G127" i="138"/>
  <c r="K127" i="138"/>
  <c r="L127" i="138"/>
  <c r="AF50" i="138"/>
  <c r="AB38" i="138"/>
  <c r="AB10" i="138" s="1"/>
  <c r="AB9" i="138" s="1"/>
  <c r="AO38" i="138"/>
  <c r="AO10" i="138" s="1"/>
  <c r="AO9" i="138" s="1"/>
  <c r="AR75" i="138"/>
  <c r="AQ79" i="138"/>
  <c r="AR80" i="138"/>
  <c r="AR78" i="138" s="1"/>
  <c r="L106" i="138"/>
  <c r="AF107" i="138"/>
  <c r="AR42" i="138"/>
  <c r="AR67" i="138"/>
  <c r="AP38" i="138"/>
  <c r="AP10" i="138" s="1"/>
  <c r="AP9" i="138" s="1"/>
  <c r="AF82" i="138"/>
  <c r="L90" i="138"/>
  <c r="AF88" i="138"/>
  <c r="AD88" i="138" s="1"/>
  <c r="S50" i="138"/>
  <c r="AA62" i="138"/>
  <c r="S75" i="138"/>
  <c r="S74" i="138" s="1"/>
  <c r="S78" i="138"/>
  <c r="AA74" i="138"/>
  <c r="S62" i="138"/>
  <c r="S66" i="138"/>
  <c r="AO50" i="138"/>
  <c r="AA50" i="138"/>
  <c r="S39" i="138" l="1"/>
  <c r="AR110" i="138"/>
  <c r="AR87" i="138"/>
  <c r="AR86" i="138" s="1"/>
  <c r="AE127" i="138"/>
  <c r="AF127" i="138"/>
  <c r="AD111" i="138"/>
  <c r="AD110" i="138" s="1"/>
  <c r="AR63" i="138"/>
  <c r="AD116" i="138"/>
  <c r="AD115" i="138" s="1"/>
  <c r="AD114" i="138" s="1"/>
  <c r="AD128" i="138"/>
  <c r="AR39" i="138"/>
  <c r="AD92" i="138"/>
  <c r="AD90" i="138" s="1"/>
  <c r="AF90" i="138"/>
  <c r="AD107" i="138"/>
  <c r="AD106" i="138" s="1"/>
  <c r="AF106" i="138"/>
  <c r="AR76" i="138"/>
  <c r="AR74" i="138" s="1"/>
  <c r="AQ80" i="138"/>
  <c r="AQ76" i="138" s="1"/>
  <c r="AQ75" i="138"/>
  <c r="AQ39" i="138" s="1"/>
  <c r="AF120" i="138"/>
  <c r="AF119" i="138" s="1"/>
  <c r="AD124" i="138"/>
  <c r="AD123" i="138" s="1"/>
  <c r="S40" i="138"/>
  <c r="AC38" i="138"/>
  <c r="X127" i="138" l="1"/>
  <c r="Y127" i="138"/>
  <c r="AC127" i="138"/>
  <c r="Z127" i="138"/>
  <c r="AD127" i="138"/>
  <c r="AA127" i="138"/>
  <c r="AB127" i="138"/>
  <c r="AQ74" i="138"/>
  <c r="AQ40" i="138"/>
  <c r="AQ38" i="138" s="1"/>
  <c r="AQ10" i="138" s="1"/>
  <c r="AQ9" i="138" s="1"/>
  <c r="AQ78" i="138"/>
  <c r="AF87" i="138"/>
  <c r="AF86" i="138" s="1"/>
  <c r="S38" i="138"/>
  <c r="AD87" i="138" l="1"/>
  <c r="AD86" i="138" s="1"/>
  <c r="P48" i="138"/>
  <c r="L48" i="138" s="1"/>
  <c r="AF48" i="138" s="1"/>
  <c r="AF40" i="138" s="1"/>
  <c r="P47" i="138"/>
  <c r="L47" i="138" s="1"/>
  <c r="AF47" i="138" s="1"/>
  <c r="AF39" i="138" s="1"/>
  <c r="O46" i="138"/>
  <c r="L45" i="138"/>
  <c r="P44" i="138"/>
  <c r="P43" i="138"/>
  <c r="L44" i="138"/>
  <c r="L43" i="138"/>
  <c r="O42" i="138"/>
  <c r="K42" i="138"/>
  <c r="P41" i="138"/>
  <c r="P40" i="138"/>
  <c r="P39" i="138"/>
  <c r="C48" i="138"/>
  <c r="C47" i="138"/>
  <c r="K46" i="138"/>
  <c r="C44" i="138"/>
  <c r="C43" i="138"/>
  <c r="P61" i="138"/>
  <c r="C61" i="138"/>
  <c r="P60" i="138"/>
  <c r="L60" i="138" s="1"/>
  <c r="C60" i="138"/>
  <c r="P59" i="138"/>
  <c r="C59" i="138"/>
  <c r="P57" i="138"/>
  <c r="C57" i="138"/>
  <c r="P56" i="138"/>
  <c r="C56" i="138"/>
  <c r="P55" i="138"/>
  <c r="C55" i="138"/>
  <c r="R53" i="138"/>
  <c r="Q53" i="138"/>
  <c r="P53" i="138"/>
  <c r="O53" i="138"/>
  <c r="N53" i="138"/>
  <c r="K53" i="138"/>
  <c r="J53" i="138"/>
  <c r="R52" i="138"/>
  <c r="Q52" i="138"/>
  <c r="P52" i="138"/>
  <c r="O52" i="138"/>
  <c r="N52" i="138"/>
  <c r="K52" i="138"/>
  <c r="J52" i="138"/>
  <c r="R51" i="138"/>
  <c r="Q51" i="138"/>
  <c r="P51" i="138"/>
  <c r="O51" i="138"/>
  <c r="K51" i="138"/>
  <c r="J51" i="138"/>
  <c r="I50" i="138"/>
  <c r="H50" i="138"/>
  <c r="G50" i="138"/>
  <c r="F50" i="138"/>
  <c r="E50" i="138"/>
  <c r="D50" i="138"/>
  <c r="J75" i="138"/>
  <c r="P85" i="138"/>
  <c r="C85" i="138"/>
  <c r="P84" i="138"/>
  <c r="C84" i="138"/>
  <c r="P83" i="138"/>
  <c r="C83" i="138"/>
  <c r="P81" i="138"/>
  <c r="C81" i="138"/>
  <c r="P80" i="138"/>
  <c r="L80" i="138" s="1"/>
  <c r="C80" i="138"/>
  <c r="P79" i="138"/>
  <c r="C79" i="138"/>
  <c r="R77" i="138"/>
  <c r="Q77" i="138"/>
  <c r="P77" i="138"/>
  <c r="O77" i="138"/>
  <c r="N77" i="138"/>
  <c r="K77" i="138"/>
  <c r="J77" i="138"/>
  <c r="R76" i="138"/>
  <c r="Q76" i="138"/>
  <c r="P76" i="138"/>
  <c r="O76" i="138"/>
  <c r="M76" i="138" s="1"/>
  <c r="K76" i="138"/>
  <c r="J76" i="138"/>
  <c r="R75" i="138"/>
  <c r="Q75" i="138"/>
  <c r="P75" i="138"/>
  <c r="O75" i="138"/>
  <c r="K75" i="138"/>
  <c r="I74" i="138"/>
  <c r="H74" i="138"/>
  <c r="G74" i="138"/>
  <c r="F74" i="138"/>
  <c r="E74" i="138"/>
  <c r="D74" i="138"/>
  <c r="P73" i="138"/>
  <c r="P72" i="138"/>
  <c r="P71" i="138"/>
  <c r="P69" i="138"/>
  <c r="P68" i="138"/>
  <c r="P67" i="138"/>
  <c r="C73" i="138"/>
  <c r="C72" i="138"/>
  <c r="C71" i="138"/>
  <c r="C68" i="138"/>
  <c r="C69" i="138"/>
  <c r="C67" i="138"/>
  <c r="P65" i="138"/>
  <c r="P64" i="138"/>
  <c r="P63" i="138"/>
  <c r="R65" i="138"/>
  <c r="Q65" i="138"/>
  <c r="R64" i="138"/>
  <c r="Q64" i="138"/>
  <c r="R63" i="138"/>
  <c r="Q63" i="138"/>
  <c r="O65" i="138"/>
  <c r="N65" i="138"/>
  <c r="O64" i="138"/>
  <c r="N64" i="138"/>
  <c r="O63" i="138"/>
  <c r="N63" i="138"/>
  <c r="D62" i="138"/>
  <c r="E62" i="138"/>
  <c r="F62" i="138"/>
  <c r="G62" i="138"/>
  <c r="H62" i="138"/>
  <c r="I62" i="138"/>
  <c r="K65" i="138"/>
  <c r="K64" i="138"/>
  <c r="K63" i="138"/>
  <c r="J65" i="138"/>
  <c r="J64" i="138"/>
  <c r="J63" i="138"/>
  <c r="AQ19" i="138"/>
  <c r="I9" i="135"/>
  <c r="I55" i="135"/>
  <c r="I54" i="135" s="1"/>
  <c r="I57" i="135"/>
  <c r="I56" i="135"/>
  <c r="I58" i="135"/>
  <c r="I60" i="135"/>
  <c r="I59" i="135"/>
  <c r="I48" i="135"/>
  <c r="I47" i="135"/>
  <c r="I50" i="135"/>
  <c r="I49" i="135"/>
  <c r="I51" i="135"/>
  <c r="I53" i="135"/>
  <c r="I52" i="135"/>
  <c r="I40" i="135"/>
  <c r="I41" i="135"/>
  <c r="I43" i="135"/>
  <c r="I44" i="135"/>
  <c r="I45" i="135"/>
  <c r="I42" i="135"/>
  <c r="I34" i="135"/>
  <c r="I33" i="135" s="1"/>
  <c r="I35" i="135"/>
  <c r="I37" i="135"/>
  <c r="I39" i="135"/>
  <c r="I38" i="135"/>
  <c r="F34" i="135"/>
  <c r="F35" i="135"/>
  <c r="F38" i="135"/>
  <c r="AC35" i="138"/>
  <c r="AC34" i="138" s="1"/>
  <c r="S37" i="138"/>
  <c r="S35" i="138" s="1"/>
  <c r="AC31" i="138"/>
  <c r="AC30" i="138" s="1"/>
  <c r="S32" i="138"/>
  <c r="AC25" i="138"/>
  <c r="AB24" i="138"/>
  <c r="S29" i="138"/>
  <c r="S28" i="138"/>
  <c r="AR28" i="138" s="1"/>
  <c r="AR27" i="138" s="1"/>
  <c r="R35" i="138"/>
  <c r="R34" i="138" s="1"/>
  <c r="P37" i="138"/>
  <c r="P36" i="138"/>
  <c r="O35" i="138"/>
  <c r="O34" i="138" s="1"/>
  <c r="M37" i="138"/>
  <c r="M35" i="138" s="1"/>
  <c r="C37" i="138"/>
  <c r="C36" i="138"/>
  <c r="K35" i="138"/>
  <c r="K34" i="138" s="1"/>
  <c r="C33" i="138"/>
  <c r="C32" i="138"/>
  <c r="K31" i="138"/>
  <c r="K30" i="138" s="1"/>
  <c r="M28" i="138"/>
  <c r="O24" i="138"/>
  <c r="M26" i="138"/>
  <c r="AF26" i="138" s="1"/>
  <c r="AF13" i="138" s="1"/>
  <c r="AD13" i="138" s="1"/>
  <c r="M25" i="138"/>
  <c r="P54" i="138" l="1"/>
  <c r="P38" i="138"/>
  <c r="P10" i="138" s="1"/>
  <c r="P9" i="138" s="1"/>
  <c r="M65" i="138"/>
  <c r="S25" i="138"/>
  <c r="S24" i="138" s="1"/>
  <c r="AC12" i="138"/>
  <c r="M64" i="138"/>
  <c r="L64" i="138" s="1"/>
  <c r="M77" i="138"/>
  <c r="J50" i="138"/>
  <c r="P42" i="138"/>
  <c r="J39" i="138"/>
  <c r="C51" i="138"/>
  <c r="K39" i="138"/>
  <c r="R50" i="138"/>
  <c r="O40" i="138"/>
  <c r="AD48" i="138"/>
  <c r="AD40" i="138"/>
  <c r="N39" i="138"/>
  <c r="M63" i="138"/>
  <c r="O50" i="138"/>
  <c r="M51" i="138"/>
  <c r="L51" i="138" s="1"/>
  <c r="O39" i="138"/>
  <c r="L76" i="138"/>
  <c r="K40" i="138"/>
  <c r="M53" i="138"/>
  <c r="N41" i="138"/>
  <c r="C46" i="138"/>
  <c r="O74" i="138"/>
  <c r="M75" i="138"/>
  <c r="L75" i="138" s="1"/>
  <c r="N40" i="138"/>
  <c r="M52" i="138"/>
  <c r="L52" i="138" s="1"/>
  <c r="O41" i="138"/>
  <c r="AD47" i="138"/>
  <c r="AF46" i="138"/>
  <c r="Q39" i="138"/>
  <c r="M82" i="138"/>
  <c r="R40" i="138"/>
  <c r="L42" i="138"/>
  <c r="P82" i="138"/>
  <c r="J41" i="138"/>
  <c r="L56" i="138"/>
  <c r="J74" i="138"/>
  <c r="C78" i="138"/>
  <c r="M54" i="138"/>
  <c r="C58" i="138"/>
  <c r="L73" i="138"/>
  <c r="L84" i="138"/>
  <c r="Q41" i="138"/>
  <c r="R41" i="138"/>
  <c r="M70" i="138"/>
  <c r="C76" i="138"/>
  <c r="C77" i="138"/>
  <c r="M78" i="138"/>
  <c r="L85" i="138"/>
  <c r="J40" i="138"/>
  <c r="L57" i="138"/>
  <c r="M42" i="138"/>
  <c r="L67" i="138"/>
  <c r="L72" i="138"/>
  <c r="N50" i="138"/>
  <c r="K50" i="138"/>
  <c r="P50" i="138"/>
  <c r="C54" i="138"/>
  <c r="P58" i="138"/>
  <c r="C64" i="138"/>
  <c r="Q40" i="138"/>
  <c r="M58" i="138"/>
  <c r="L61" i="138"/>
  <c r="C65" i="138"/>
  <c r="P78" i="138"/>
  <c r="C82" i="138"/>
  <c r="C52" i="138"/>
  <c r="C53" i="138"/>
  <c r="P46" i="138"/>
  <c r="L63" i="138"/>
  <c r="P62" i="138"/>
  <c r="L53" i="138"/>
  <c r="K41" i="138"/>
  <c r="R39" i="138"/>
  <c r="K62" i="138"/>
  <c r="Q62" i="138"/>
  <c r="L81" i="138"/>
  <c r="Q50" i="138"/>
  <c r="L55" i="138"/>
  <c r="L59" i="138"/>
  <c r="C42" i="138"/>
  <c r="M46" i="138"/>
  <c r="L46" i="138"/>
  <c r="L77" i="138"/>
  <c r="Q74" i="138"/>
  <c r="C63" i="138"/>
  <c r="R62" i="138"/>
  <c r="L65" i="138"/>
  <c r="L68" i="138"/>
  <c r="AR68" i="138" s="1"/>
  <c r="N74" i="138"/>
  <c r="R74" i="138"/>
  <c r="N62" i="138"/>
  <c r="C66" i="138"/>
  <c r="L69" i="138"/>
  <c r="P74" i="138"/>
  <c r="L79" i="138"/>
  <c r="L83" i="138"/>
  <c r="C75" i="138"/>
  <c r="J62" i="138"/>
  <c r="O62" i="138"/>
  <c r="C70" i="138"/>
  <c r="P70" i="138"/>
  <c r="L71" i="138"/>
  <c r="P66" i="138"/>
  <c r="K74" i="138"/>
  <c r="C31" i="138"/>
  <c r="C30" i="138" s="1"/>
  <c r="P35" i="138"/>
  <c r="P34" i="138" s="1"/>
  <c r="O23" i="138"/>
  <c r="M24" i="138"/>
  <c r="C35" i="138"/>
  <c r="C34" i="138" s="1"/>
  <c r="S27" i="138"/>
  <c r="AR33" i="138"/>
  <c r="AC24" i="138"/>
  <c r="AC23" i="138" s="1"/>
  <c r="AR36" i="138"/>
  <c r="S31" i="138"/>
  <c r="S30" i="138" s="1"/>
  <c r="S34" i="138"/>
  <c r="M27" i="138"/>
  <c r="M23" i="138" s="1"/>
  <c r="AR32" i="138"/>
  <c r="M34" i="138"/>
  <c r="AR37" i="138"/>
  <c r="L37" i="138"/>
  <c r="L36" i="138"/>
  <c r="M62" i="138" l="1"/>
  <c r="M50" i="138"/>
  <c r="AF25" i="138"/>
  <c r="AF12" i="138" s="1"/>
  <c r="AD12" i="138" s="1"/>
  <c r="AD11" i="138" s="1"/>
  <c r="M74" i="138"/>
  <c r="C41" i="138"/>
  <c r="S23" i="138"/>
  <c r="AC11" i="138"/>
  <c r="AC10" i="138" s="1"/>
  <c r="AC9" i="138" s="1"/>
  <c r="S12" i="138"/>
  <c r="S11" i="138" s="1"/>
  <c r="S10" i="138" s="1"/>
  <c r="L70" i="138"/>
  <c r="E38" i="138"/>
  <c r="R38" i="138"/>
  <c r="R10" i="138" s="1"/>
  <c r="R9" i="138" s="1"/>
  <c r="D38" i="138"/>
  <c r="AR64" i="138"/>
  <c r="AR66" i="138"/>
  <c r="N38" i="138"/>
  <c r="N10" i="138" s="1"/>
  <c r="N9" i="138" s="1"/>
  <c r="M40" i="138"/>
  <c r="L40" i="138" s="1"/>
  <c r="M41" i="138"/>
  <c r="L41" i="138" s="1"/>
  <c r="C40" i="138"/>
  <c r="AD46" i="138"/>
  <c r="O38" i="138"/>
  <c r="O10" i="138" s="1"/>
  <c r="M39" i="138"/>
  <c r="J38" i="138"/>
  <c r="J10" i="138" s="1"/>
  <c r="J9" i="138" s="1"/>
  <c r="K38" i="138"/>
  <c r="K10" i="138" s="1"/>
  <c r="Q38" i="138"/>
  <c r="Q10" i="138" s="1"/>
  <c r="Q9" i="138" s="1"/>
  <c r="AD39" i="138"/>
  <c r="AD38" i="138" s="1"/>
  <c r="AF38" i="138"/>
  <c r="L62" i="138"/>
  <c r="C62" i="138"/>
  <c r="L66" i="138"/>
  <c r="L78" i="138"/>
  <c r="L54" i="138"/>
  <c r="L58" i="138"/>
  <c r="C74" i="138"/>
  <c r="C39" i="138"/>
  <c r="L82" i="138"/>
  <c r="L50" i="138"/>
  <c r="L74" i="138"/>
  <c r="C50" i="138"/>
  <c r="AR31" i="138"/>
  <c r="AR30" i="138" s="1"/>
  <c r="AR35" i="138"/>
  <c r="AR34" i="138" s="1"/>
  <c r="L35" i="138"/>
  <c r="L34" i="138" s="1"/>
  <c r="K9" i="138" l="1"/>
  <c r="S9" i="138"/>
  <c r="O9" i="138"/>
  <c r="AF11" i="138"/>
  <c r="AF10" i="138" s="1"/>
  <c r="AF9" i="138" s="1"/>
  <c r="AD10" i="138"/>
  <c r="AD9" i="138" s="1"/>
  <c r="AF24" i="138"/>
  <c r="AF23" i="138" s="1"/>
  <c r="C38" i="138"/>
  <c r="C10" i="138" s="1"/>
  <c r="C9" i="138" s="1"/>
  <c r="M38" i="138"/>
  <c r="M10" i="138" s="1"/>
  <c r="M9" i="138" s="1"/>
  <c r="L39" i="138"/>
  <c r="AR40" i="138"/>
  <c r="AR38" i="138" s="1"/>
  <c r="AR62" i="138"/>
  <c r="AG21" i="138"/>
  <c r="AG22" i="138"/>
  <c r="AG20" i="138"/>
  <c r="AD21" i="138"/>
  <c r="AD22" i="138"/>
  <c r="AD20" i="138"/>
  <c r="T19" i="138"/>
  <c r="U19" i="138"/>
  <c r="V19" i="138"/>
  <c r="W19" i="138"/>
  <c r="X19" i="138"/>
  <c r="Y19" i="138"/>
  <c r="Z19" i="138"/>
  <c r="AA19" i="138"/>
  <c r="AB19" i="138"/>
  <c r="AC19" i="138"/>
  <c r="AE19" i="138"/>
  <c r="AF19" i="138"/>
  <c r="AH19" i="138"/>
  <c r="AI19" i="138"/>
  <c r="AJ19" i="138"/>
  <c r="AK19" i="138"/>
  <c r="AL19" i="138"/>
  <c r="AM19" i="138"/>
  <c r="AN19" i="138"/>
  <c r="AO19" i="138"/>
  <c r="AP19" i="138"/>
  <c r="S21" i="138"/>
  <c r="S22" i="138"/>
  <c r="S20" i="138"/>
  <c r="P22" i="138"/>
  <c r="P21" i="138"/>
  <c r="P20" i="138"/>
  <c r="M21" i="138"/>
  <c r="M22" i="138"/>
  <c r="M20" i="138"/>
  <c r="J19" i="138"/>
  <c r="C21" i="138"/>
  <c r="C22" i="138"/>
  <c r="C20" i="138"/>
  <c r="L22" i="138" l="1"/>
  <c r="G38" i="138"/>
  <c r="L38" i="138"/>
  <c r="L10" i="138" s="1"/>
  <c r="H38" i="138"/>
  <c r="I38" i="138"/>
  <c r="F38" i="138"/>
  <c r="AG19" i="138"/>
  <c r="S19" i="138"/>
  <c r="L20" i="138"/>
  <c r="AR20" i="138" s="1"/>
  <c r="AR12" i="138" s="1"/>
  <c r="P19" i="138"/>
  <c r="L21" i="138"/>
  <c r="AD19" i="138"/>
  <c r="M19" i="138"/>
  <c r="L19" i="138" l="1"/>
  <c r="AR21" i="138"/>
  <c r="AR19" i="138" l="1"/>
  <c r="AR13" i="138"/>
  <c r="AR11" i="138" s="1"/>
  <c r="AR10" i="138" s="1"/>
  <c r="AR9" i="138" s="1"/>
  <c r="F12" i="137"/>
  <c r="C13" i="137"/>
  <c r="C12" i="137" s="1"/>
  <c r="D9" i="140"/>
  <c r="D16" i="140"/>
  <c r="D12" i="140" s="1"/>
  <c r="E53" i="134" l="1"/>
  <c r="E50" i="134"/>
  <c r="E46" i="134"/>
  <c r="E43" i="134"/>
  <c r="E39" i="134"/>
  <c r="E36" i="134"/>
  <c r="E9" i="134"/>
  <c r="E8" i="134" s="1"/>
  <c r="C32" i="134"/>
  <c r="C31" i="134"/>
  <c r="C30" i="134" l="1"/>
  <c r="E42" i="134"/>
  <c r="E34" i="134" s="1"/>
  <c r="E33" i="134" l="1"/>
  <c r="E7" i="134" s="1"/>
  <c r="D28" i="134"/>
  <c r="D19" i="134"/>
  <c r="C24" i="134"/>
  <c r="C23" i="134" s="1"/>
  <c r="C22" i="134"/>
  <c r="C21" i="134" s="1"/>
  <c r="C20" i="134"/>
  <c r="C19" i="134" s="1"/>
  <c r="C29" i="134"/>
  <c r="C28" i="134" s="1"/>
  <c r="D25" i="134"/>
  <c r="D23" i="134"/>
  <c r="D21" i="134"/>
  <c r="D16" i="134"/>
  <c r="D14" i="134"/>
  <c r="D12" i="134"/>
  <c r="D11" i="134" s="1"/>
  <c r="D10" i="134" l="1"/>
  <c r="C57" i="134"/>
  <c r="D18" i="134"/>
  <c r="D9" i="134" l="1"/>
  <c r="D8" i="134" s="1"/>
  <c r="D7" i="134" s="1"/>
  <c r="C7" i="134" s="1"/>
  <c r="G8" i="134" s="1"/>
  <c r="C12" i="134"/>
  <c r="C13" i="134"/>
  <c r="C15" i="134"/>
  <c r="C14" i="134" s="1"/>
  <c r="C17" i="134"/>
  <c r="C16" i="134" s="1"/>
  <c r="C26" i="134"/>
  <c r="C27" i="134"/>
  <c r="C11" i="134" l="1"/>
  <c r="C10" i="134" s="1"/>
  <c r="C25" i="134"/>
  <c r="C18" i="134" s="1"/>
  <c r="F24" i="135"/>
  <c r="C27" i="135"/>
  <c r="D12" i="135"/>
  <c r="C12" i="135"/>
  <c r="D15" i="135"/>
  <c r="H15" i="135" s="1"/>
  <c r="D20" i="135"/>
  <c r="H20" i="135" s="1"/>
  <c r="D52" i="135"/>
  <c r="D51" i="135" s="1"/>
  <c r="D49" i="135"/>
  <c r="G48" i="135"/>
  <c r="G47" i="135" s="1"/>
  <c r="G51" i="135"/>
  <c r="G41" i="135"/>
  <c r="D42" i="135"/>
  <c r="D46" i="135"/>
  <c r="F46" i="135" s="1"/>
  <c r="G46" i="135" s="1"/>
  <c r="D45" i="135"/>
  <c r="F45" i="135" s="1"/>
  <c r="G34" i="135"/>
  <c r="G38" i="135"/>
  <c r="G39" i="135"/>
  <c r="E34" i="135"/>
  <c r="E37" i="135"/>
  <c r="E41" i="135"/>
  <c r="E44" i="135"/>
  <c r="E58" i="135"/>
  <c r="E55" i="135"/>
  <c r="F50" i="135"/>
  <c r="F53" i="135"/>
  <c r="F56" i="135"/>
  <c r="F57" i="135"/>
  <c r="F59" i="135"/>
  <c r="F60" i="135"/>
  <c r="D48" i="135"/>
  <c r="C49" i="135"/>
  <c r="C48" i="135" s="1"/>
  <c r="C47" i="135" s="1"/>
  <c r="C51" i="135"/>
  <c r="C9" i="134" l="1"/>
  <c r="C8" i="134" s="1"/>
  <c r="G37" i="135"/>
  <c r="F12" i="135"/>
  <c r="G44" i="135"/>
  <c r="G40" i="135" s="1"/>
  <c r="F15" i="135"/>
  <c r="F20" i="135"/>
  <c r="F55" i="135"/>
  <c r="H12" i="135"/>
  <c r="F58" i="135"/>
  <c r="F49" i="135"/>
  <c r="G33" i="135"/>
  <c r="D44" i="135"/>
  <c r="F52" i="135"/>
  <c r="E33" i="135"/>
  <c r="D47" i="135"/>
  <c r="F44" i="135"/>
  <c r="E54" i="135"/>
  <c r="T73" i="148"/>
  <c r="S7" i="148"/>
  <c r="G30" i="59"/>
  <c r="I30" i="59"/>
  <c r="C32" i="78"/>
  <c r="C64" i="78"/>
  <c r="D41" i="135"/>
  <c r="D40" i="135" s="1"/>
  <c r="C44" i="135"/>
  <c r="C43" i="135"/>
  <c r="F43" i="135" s="1"/>
  <c r="C42" i="135"/>
  <c r="F42" i="135" s="1"/>
  <c r="D39" i="135"/>
  <c r="F39" i="135" s="1"/>
  <c r="D38" i="135"/>
  <c r="C37" i="135"/>
  <c r="D34" i="135"/>
  <c r="C34" i="135"/>
  <c r="D58" i="135"/>
  <c r="D55" i="135"/>
  <c r="C58" i="135"/>
  <c r="C55" i="135"/>
  <c r="S73" i="148"/>
  <c r="F26" i="135"/>
  <c r="G26" i="135" s="1"/>
  <c r="F25" i="135"/>
  <c r="F29" i="135"/>
  <c r="G29" i="135" s="1"/>
  <c r="AF13" i="89"/>
  <c r="AH15" i="147"/>
  <c r="F31" i="135"/>
  <c r="H31" i="135" s="1"/>
  <c r="F30" i="135"/>
  <c r="H30" i="135" s="1"/>
  <c r="F54" i="135" l="1"/>
  <c r="C33" i="135"/>
  <c r="C41" i="135"/>
  <c r="C40" i="135" s="1"/>
  <c r="K33" i="135"/>
  <c r="F41" i="135"/>
  <c r="D37" i="135"/>
  <c r="D33" i="135" s="1"/>
  <c r="F40" i="135"/>
  <c r="F51" i="135"/>
  <c r="F48" i="135"/>
  <c r="G25" i="135"/>
  <c r="G9" i="135" s="1"/>
  <c r="F37" i="135"/>
  <c r="F33" i="135" s="1"/>
  <c r="C54" i="135"/>
  <c r="C9" i="135" s="1"/>
  <c r="D54" i="135"/>
  <c r="D11" i="135"/>
  <c r="D13" i="135"/>
  <c r="D14" i="135"/>
  <c r="D16" i="135"/>
  <c r="D17" i="135"/>
  <c r="D18" i="135"/>
  <c r="D19" i="135"/>
  <c r="D21" i="135"/>
  <c r="D22" i="135"/>
  <c r="D23" i="135"/>
  <c r="D28" i="135"/>
  <c r="D10" i="135"/>
  <c r="K34" i="135" l="1"/>
  <c r="L33" i="135"/>
  <c r="M33" i="135"/>
  <c r="D9" i="135"/>
  <c r="L9" i="135" s="1"/>
  <c r="F47" i="135"/>
  <c r="F9" i="135" s="1"/>
  <c r="H9" i="135"/>
  <c r="I7" i="148"/>
  <c r="K7" i="135" l="1"/>
  <c r="A1" i="148"/>
  <c r="L32" i="79" l="1"/>
  <c r="L36" i="79"/>
  <c r="L35" i="79"/>
  <c r="L33" i="79"/>
  <c r="L34" i="79"/>
  <c r="J32" i="79"/>
  <c r="I32" i="79"/>
  <c r="J34" i="79"/>
  <c r="J35" i="79"/>
  <c r="J36" i="79"/>
  <c r="J33" i="79"/>
  <c r="D35" i="79"/>
  <c r="D36" i="79"/>
  <c r="D41" i="79"/>
  <c r="F60" i="121"/>
  <c r="F70" i="121"/>
  <c r="F65" i="121"/>
  <c r="F69" i="121"/>
  <c r="W32" i="78"/>
  <c r="P108" i="146"/>
  <c r="Q73" i="146"/>
  <c r="G54" i="121"/>
  <c r="F54" i="121"/>
  <c r="G47" i="121"/>
  <c r="F47" i="121"/>
  <c r="N59" i="147"/>
  <c r="N58" i="147"/>
  <c r="M57" i="147"/>
  <c r="N57" i="147" s="1"/>
  <c r="L57" i="147"/>
  <c r="M56" i="147"/>
  <c r="N56" i="147" s="1"/>
  <c r="N55" i="147"/>
  <c r="M54" i="147"/>
  <c r="N54" i="147" s="1"/>
  <c r="N53" i="147"/>
  <c r="N52" i="147"/>
  <c r="M51" i="147"/>
  <c r="N51" i="147" s="1"/>
  <c r="M50" i="147"/>
  <c r="N50" i="147" s="1"/>
  <c r="L50" i="147"/>
  <c r="K50" i="147"/>
  <c r="K49" i="147" s="1"/>
  <c r="J50" i="147"/>
  <c r="J49" i="147" s="1"/>
  <c r="I50" i="147"/>
  <c r="I49" i="147" s="1"/>
  <c r="H50" i="147"/>
  <c r="G50" i="147"/>
  <c r="G49" i="147" s="1"/>
  <c r="F50" i="147"/>
  <c r="F49" i="147" s="1"/>
  <c r="E50" i="147"/>
  <c r="E49" i="147" s="1"/>
  <c r="D50" i="147"/>
  <c r="L49" i="147"/>
  <c r="H49" i="147"/>
  <c r="D49" i="147"/>
  <c r="N48" i="147"/>
  <c r="N47" i="147"/>
  <c r="M46" i="147"/>
  <c r="N46" i="147" s="1"/>
  <c r="L46" i="147"/>
  <c r="K46" i="147"/>
  <c r="J46" i="147"/>
  <c r="I46" i="147"/>
  <c r="H46" i="147"/>
  <c r="G46" i="147"/>
  <c r="F46" i="147"/>
  <c r="E46" i="147"/>
  <c r="D46" i="147"/>
  <c r="N45" i="147"/>
  <c r="N44" i="147"/>
  <c r="N43" i="147"/>
  <c r="N42" i="147"/>
  <c r="N41" i="147"/>
  <c r="M40" i="147"/>
  <c r="N40" i="147" s="1"/>
  <c r="L40" i="147"/>
  <c r="D40" i="147"/>
  <c r="D39" i="147" s="1"/>
  <c r="D38" i="147" s="1"/>
  <c r="M39" i="147"/>
  <c r="N39" i="147" s="1"/>
  <c r="L39" i="147"/>
  <c r="K39" i="147"/>
  <c r="K38" i="147" s="1"/>
  <c r="J39" i="147"/>
  <c r="J38" i="147" s="1"/>
  <c r="I39" i="147"/>
  <c r="I38" i="147" s="1"/>
  <c r="H39" i="147"/>
  <c r="G39" i="147"/>
  <c r="G38" i="147" s="1"/>
  <c r="F39" i="147"/>
  <c r="F38" i="147" s="1"/>
  <c r="E39" i="147"/>
  <c r="E38" i="147" s="1"/>
  <c r="L38" i="147"/>
  <c r="H38" i="147"/>
  <c r="M37" i="147"/>
  <c r="N37" i="147" s="1"/>
  <c r="M36" i="147"/>
  <c r="N36" i="147" s="1"/>
  <c r="L36" i="147"/>
  <c r="M35" i="147"/>
  <c r="N35" i="147" s="1"/>
  <c r="N34" i="147"/>
  <c r="M33" i="147"/>
  <c r="N33" i="147" s="1"/>
  <c r="L33" i="147"/>
  <c r="B33" i="147"/>
  <c r="M32" i="147"/>
  <c r="Y33" i="147" s="1"/>
  <c r="L31" i="147"/>
  <c r="L30" i="147" s="1"/>
  <c r="O29" i="147"/>
  <c r="N29" i="147"/>
  <c r="C29" i="147"/>
  <c r="O28" i="147"/>
  <c r="L28" i="147"/>
  <c r="N28" i="147" s="1"/>
  <c r="N27" i="147"/>
  <c r="N26" i="147"/>
  <c r="N25" i="147"/>
  <c r="M24" i="147"/>
  <c r="L24" i="147"/>
  <c r="L23" i="147"/>
  <c r="M22" i="147"/>
  <c r="P22" i="147" s="1"/>
  <c r="N21" i="147"/>
  <c r="M20" i="147"/>
  <c r="N20" i="147" s="1"/>
  <c r="M19" i="147"/>
  <c r="N19" i="147" s="1"/>
  <c r="L19" i="147"/>
  <c r="M18" i="147"/>
  <c r="N18" i="147" s="1"/>
  <c r="N17" i="147"/>
  <c r="M17" i="147"/>
  <c r="M16" i="147"/>
  <c r="R15" i="147"/>
  <c r="N15" i="147"/>
  <c r="C15" i="147"/>
  <c r="AH14" i="147"/>
  <c r="AG14" i="147"/>
  <c r="AI14" i="147" s="1"/>
  <c r="U14" i="147"/>
  <c r="T14" i="147"/>
  <c r="T11" i="147" s="1"/>
  <c r="S14" i="147"/>
  <c r="R14" i="147"/>
  <c r="M14" i="147"/>
  <c r="N14" i="147" s="1"/>
  <c r="S13" i="147"/>
  <c r="L13" i="147"/>
  <c r="S12" i="147"/>
  <c r="S11" i="147" s="1"/>
  <c r="L12" i="147"/>
  <c r="U11" i="147"/>
  <c r="R8" i="147"/>
  <c r="P8" i="147"/>
  <c r="A4" i="147"/>
  <c r="A1" i="147"/>
  <c r="F44" i="121"/>
  <c r="L11" i="147" l="1"/>
  <c r="L10" i="147" s="1"/>
  <c r="N16" i="147"/>
  <c r="M23" i="147"/>
  <c r="N23" i="147" s="1"/>
  <c r="N24" i="147"/>
  <c r="M49" i="147"/>
  <c r="N49" i="147" s="1"/>
  <c r="R16" i="147"/>
  <c r="N22" i="147"/>
  <c r="N32" i="147"/>
  <c r="M13" i="147"/>
  <c r="M31" i="147"/>
  <c r="M12" i="147" l="1"/>
  <c r="N13" i="147"/>
  <c r="R12" i="147"/>
  <c r="R11" i="147" s="1"/>
  <c r="Q11" i="147" s="1"/>
  <c r="M38" i="147"/>
  <c r="N38" i="147" s="1"/>
  <c r="AG15" i="147"/>
  <c r="N31" i="147"/>
  <c r="M30" i="147"/>
  <c r="N30" i="147" s="1"/>
  <c r="N12" i="147" l="1"/>
  <c r="M11" i="147"/>
  <c r="N11" i="147" l="1"/>
  <c r="M10" i="147"/>
  <c r="N10" i="147" s="1"/>
  <c r="O10" i="147"/>
  <c r="G19" i="121" l="1"/>
  <c r="G13" i="121" s="1"/>
  <c r="F19" i="121"/>
  <c r="F13" i="121" s="1"/>
  <c r="G23" i="121"/>
  <c r="G21" i="121" s="1"/>
  <c r="F23" i="121"/>
  <c r="F21" i="121" s="1"/>
  <c r="E22" i="121"/>
  <c r="F29" i="121"/>
  <c r="G29" i="121"/>
  <c r="E33" i="121"/>
  <c r="E29" i="121" s="1"/>
  <c r="E38" i="121"/>
  <c r="E40" i="121"/>
  <c r="G39" i="121"/>
  <c r="G37" i="121" s="1"/>
  <c r="G36" i="121" s="1"/>
  <c r="F39" i="121"/>
  <c r="F37" i="121" s="1"/>
  <c r="F36" i="121" s="1"/>
  <c r="E39" i="121" l="1"/>
  <c r="E37" i="121" s="1"/>
  <c r="E36" i="121" s="1"/>
  <c r="F12" i="121"/>
  <c r="F11" i="121" s="1"/>
  <c r="E23" i="121"/>
  <c r="E21" i="121" s="1"/>
  <c r="E19" i="121"/>
  <c r="E13" i="121" l="1"/>
  <c r="E12" i="121" s="1"/>
  <c r="E11" i="121" s="1"/>
  <c r="G12" i="121"/>
  <c r="G11" i="121" s="1"/>
  <c r="D45" i="78"/>
  <c r="F45" i="78"/>
  <c r="P23" i="146"/>
  <c r="S14" i="146"/>
  <c r="D39" i="78"/>
  <c r="F39" i="78"/>
  <c r="P14" i="146"/>
  <c r="M37" i="75"/>
  <c r="W30" i="75"/>
  <c r="H11" i="121" l="1"/>
  <c r="E58" i="121" l="1"/>
  <c r="AC33" i="79"/>
  <c r="AB37" i="79"/>
  <c r="AB36" i="79"/>
  <c r="AB34" i="79"/>
  <c r="AA35" i="79"/>
  <c r="U14" i="88"/>
  <c r="U15" i="88"/>
  <c r="N13" i="88"/>
  <c r="AB33" i="79"/>
  <c r="P78" i="146"/>
  <c r="R9" i="146" l="1"/>
  <c r="O13" i="146"/>
  <c r="R8" i="146"/>
  <c r="R10" i="146"/>
  <c r="R11" i="146"/>
  <c r="J19" i="63"/>
  <c r="J15" i="63"/>
  <c r="J11" i="63"/>
  <c r="K7" i="63"/>
  <c r="J7" i="63"/>
  <c r="J18" i="63"/>
  <c r="J17" i="63"/>
  <c r="J34" i="63"/>
  <c r="R7" i="146" l="1"/>
  <c r="G59" i="121" l="1"/>
  <c r="D28" i="79"/>
  <c r="E59" i="121" l="1"/>
  <c r="G44" i="121"/>
  <c r="E10" i="83"/>
  <c r="F10" i="83"/>
  <c r="H10" i="83"/>
  <c r="I10" i="83"/>
  <c r="J10" i="83"/>
  <c r="K10" i="83"/>
  <c r="L10" i="83"/>
  <c r="M10" i="83"/>
  <c r="N10" i="83"/>
  <c r="O10" i="83"/>
  <c r="P10" i="83"/>
  <c r="Q10" i="83"/>
  <c r="R10" i="83"/>
  <c r="A3" i="63" l="1"/>
  <c r="E35" i="59" l="1"/>
  <c r="C49" i="78" l="1"/>
  <c r="N19" i="78"/>
  <c r="C39" i="82" l="1"/>
  <c r="E10" i="91"/>
  <c r="D24" i="91"/>
  <c r="D23" i="91" s="1"/>
  <c r="E21" i="91"/>
  <c r="E22" i="91"/>
  <c r="E24" i="91"/>
  <c r="E20" i="91"/>
  <c r="D19" i="91"/>
  <c r="C23" i="91"/>
  <c r="D21" i="91"/>
  <c r="D22" i="91"/>
  <c r="C19" i="91"/>
  <c r="C18" i="91" s="1"/>
  <c r="L28" i="81"/>
  <c r="L29" i="81"/>
  <c r="L30" i="81"/>
  <c r="L31" i="81"/>
  <c r="F28" i="81"/>
  <c r="F29" i="81"/>
  <c r="F30" i="81"/>
  <c r="F31" i="81"/>
  <c r="E23" i="91" l="1"/>
  <c r="F10" i="81" l="1"/>
  <c r="G10" i="81"/>
  <c r="H10" i="81"/>
  <c r="M10" i="81"/>
  <c r="O10" i="81"/>
  <c r="E30" i="81"/>
  <c r="C30" i="81" s="1"/>
  <c r="H13" i="81"/>
  <c r="M12" i="81"/>
  <c r="G12" i="81"/>
  <c r="H12" i="81"/>
  <c r="H11" i="81"/>
  <c r="E9" i="83"/>
  <c r="G63" i="121" s="1"/>
  <c r="E63" i="121" s="1"/>
  <c r="D32" i="79" s="1"/>
  <c r="F9" i="83"/>
  <c r="H9" i="83"/>
  <c r="I9" i="83"/>
  <c r="G65" i="121" s="1"/>
  <c r="J9" i="83"/>
  <c r="K9" i="83"/>
  <c r="L9" i="83"/>
  <c r="M9" i="83"/>
  <c r="G69" i="121" s="1"/>
  <c r="N9" i="83"/>
  <c r="O9" i="83"/>
  <c r="P9" i="83"/>
  <c r="G70" i="121" s="1"/>
  <c r="Q9" i="83"/>
  <c r="R9" i="83"/>
  <c r="D10" i="91" l="1"/>
  <c r="D9" i="91" s="1"/>
  <c r="C10" i="91"/>
  <c r="C9" i="91" s="1"/>
  <c r="F10" i="84"/>
  <c r="M11" i="84"/>
  <c r="J11" i="84"/>
  <c r="M12" i="84" l="1"/>
  <c r="J12" i="84" l="1"/>
  <c r="J14" i="84" l="1"/>
  <c r="E12" i="91" l="1"/>
  <c r="E13" i="91"/>
  <c r="E14" i="91"/>
  <c r="E15" i="91"/>
  <c r="E16" i="91"/>
  <c r="E11" i="91"/>
  <c r="E17" i="91"/>
  <c r="J16" i="84" l="1"/>
  <c r="M17" i="84"/>
  <c r="M22" i="84"/>
  <c r="J22" i="84"/>
  <c r="N19" i="84"/>
  <c r="K29" i="84"/>
  <c r="K30" i="84"/>
  <c r="H30" i="84"/>
  <c r="H22" i="84"/>
  <c r="H23" i="84"/>
  <c r="E9" i="84"/>
  <c r="F9" i="84"/>
  <c r="C9" i="84" s="1"/>
  <c r="G9" i="84"/>
  <c r="D9" i="84"/>
  <c r="N15" i="89"/>
  <c r="N21" i="89"/>
  <c r="N25" i="89"/>
  <c r="N26" i="89"/>
  <c r="N27" i="89"/>
  <c r="N29" i="89"/>
  <c r="N34" i="89"/>
  <c r="N41" i="89"/>
  <c r="N42" i="89"/>
  <c r="N43" i="89"/>
  <c r="N44" i="89"/>
  <c r="N45" i="89"/>
  <c r="N47" i="89"/>
  <c r="N48" i="89"/>
  <c r="N52" i="89"/>
  <c r="N53" i="89"/>
  <c r="N55" i="89"/>
  <c r="N58" i="89"/>
  <c r="N59" i="89"/>
  <c r="D35" i="82"/>
  <c r="B34" i="82"/>
  <c r="E33" i="82"/>
  <c r="D33" i="82" s="1"/>
  <c r="J15" i="81" s="1"/>
  <c r="Q15" i="81" s="1"/>
  <c r="C33" i="82"/>
  <c r="D15" i="81" s="1"/>
  <c r="D32" i="82"/>
  <c r="D31" i="82"/>
  <c r="D29" i="82"/>
  <c r="M27" i="82"/>
  <c r="D27" i="82"/>
  <c r="C27" i="82" s="1"/>
  <c r="M25" i="82"/>
  <c r="D25" i="82" s="1"/>
  <c r="C25" i="82"/>
  <c r="N22" i="82"/>
  <c r="D22" i="82" s="1"/>
  <c r="C22" i="82"/>
  <c r="N21" i="82"/>
  <c r="D21" i="82" s="1"/>
  <c r="C21" i="82"/>
  <c r="N20" i="82"/>
  <c r="D20" i="82" s="1"/>
  <c r="C20" i="82"/>
  <c r="N19" i="82"/>
  <c r="D19" i="82" s="1"/>
  <c r="C19" i="82"/>
  <c r="N18" i="82"/>
  <c r="D18" i="82"/>
  <c r="C18" i="82"/>
  <c r="N17" i="82"/>
  <c r="D17" i="82"/>
  <c r="C17" i="82"/>
  <c r="N16" i="82"/>
  <c r="D16" i="82" s="1"/>
  <c r="C16" i="82" s="1"/>
  <c r="D14" i="82"/>
  <c r="B13" i="82"/>
  <c r="D12" i="82"/>
  <c r="C12" i="82"/>
  <c r="B11" i="82"/>
  <c r="R10" i="82"/>
  <c r="R9" i="82" s="1"/>
  <c r="Q10" i="82"/>
  <c r="P10" i="82"/>
  <c r="P9" i="82" s="1"/>
  <c r="O10" i="82"/>
  <c r="O9" i="82" s="1"/>
  <c r="E10" i="82"/>
  <c r="Q9" i="82"/>
  <c r="L9" i="82"/>
  <c r="E9" i="82" l="1"/>
  <c r="N10" i="82"/>
  <c r="N9" i="82" s="1"/>
  <c r="C10" i="82"/>
  <c r="M10" i="82"/>
  <c r="D13" i="78" l="1"/>
  <c r="D14" i="79"/>
  <c r="C9" i="82"/>
  <c r="D12" i="81"/>
  <c r="D10" i="82"/>
  <c r="M9" i="82"/>
  <c r="D9" i="82" s="1"/>
  <c r="C40" i="82" l="1"/>
  <c r="D29" i="77" l="1"/>
  <c r="I11" i="59"/>
  <c r="F25" i="75"/>
  <c r="C35" i="75"/>
  <c r="D35" i="75"/>
  <c r="C15" i="75" l="1"/>
  <c r="C14" i="75"/>
  <c r="C13" i="75" s="1"/>
  <c r="C9" i="75" s="1"/>
  <c r="C10" i="75"/>
  <c r="C32" i="75" l="1"/>
  <c r="C31" i="75"/>
  <c r="D32" i="75"/>
  <c r="C49" i="79" s="1"/>
  <c r="C33" i="75"/>
  <c r="C21" i="75"/>
  <c r="C30" i="75" l="1"/>
  <c r="C29" i="75"/>
  <c r="C20" i="75" s="1"/>
  <c r="G74" i="121" l="1"/>
  <c r="D73" i="121"/>
  <c r="D62" i="121"/>
  <c r="D63" i="121"/>
  <c r="D64" i="121"/>
  <c r="D65" i="121"/>
  <c r="D66" i="121"/>
  <c r="D67" i="121"/>
  <c r="D68" i="121"/>
  <c r="D69" i="121"/>
  <c r="D70" i="121"/>
  <c r="D71" i="121"/>
  <c r="D72" i="121"/>
  <c r="G83" i="121"/>
  <c r="G77" i="121"/>
  <c r="G28" i="83"/>
  <c r="G61" i="121"/>
  <c r="D31" i="83"/>
  <c r="C29" i="84"/>
  <c r="C30" i="83" s="1"/>
  <c r="G9" i="83" l="1"/>
  <c r="G10" i="83"/>
  <c r="D28" i="83"/>
  <c r="D23" i="75"/>
  <c r="M22" i="89" l="1"/>
  <c r="P8" i="89"/>
  <c r="D90" i="78"/>
  <c r="J83" i="78"/>
  <c r="J84" i="78"/>
  <c r="K11" i="90"/>
  <c r="K12" i="90"/>
  <c r="K13" i="90"/>
  <c r="K14" i="90"/>
  <c r="K15" i="90"/>
  <c r="K16" i="90"/>
  <c r="K17" i="90"/>
  <c r="K18" i="90"/>
  <c r="K10" i="90"/>
  <c r="J10" i="90"/>
  <c r="J12" i="90"/>
  <c r="J13" i="90"/>
  <c r="J14" i="90"/>
  <c r="J15" i="90"/>
  <c r="J16" i="90"/>
  <c r="J17" i="90"/>
  <c r="J18" i="90"/>
  <c r="J11" i="90"/>
  <c r="F14" i="90"/>
  <c r="F15" i="90"/>
  <c r="F16" i="90"/>
  <c r="F17" i="90"/>
  <c r="F18" i="90"/>
  <c r="F11" i="90"/>
  <c r="F12" i="90"/>
  <c r="F13" i="90"/>
  <c r="F10" i="90"/>
  <c r="C19" i="90"/>
  <c r="D19" i="90"/>
  <c r="E19" i="90"/>
  <c r="G19" i="90"/>
  <c r="H19" i="90"/>
  <c r="I19" i="90"/>
  <c r="B19" i="90"/>
  <c r="P22" i="89" l="1"/>
  <c r="N22" i="89"/>
  <c r="J19" i="90"/>
  <c r="K19" i="90"/>
  <c r="F19" i="90"/>
  <c r="M57" i="89" l="1"/>
  <c r="N57" i="89" s="1"/>
  <c r="L57" i="89"/>
  <c r="M56" i="89"/>
  <c r="N56" i="89" s="1"/>
  <c r="M54" i="89"/>
  <c r="N54" i="89" s="1"/>
  <c r="M51" i="89"/>
  <c r="N51" i="89" s="1"/>
  <c r="L50" i="89"/>
  <c r="K50" i="89"/>
  <c r="J50" i="89"/>
  <c r="J49" i="89" s="1"/>
  <c r="I50" i="89"/>
  <c r="I49" i="89" s="1"/>
  <c r="H50" i="89"/>
  <c r="G50" i="89"/>
  <c r="F50" i="89"/>
  <c r="E50" i="89"/>
  <c r="E49" i="89" s="1"/>
  <c r="D50" i="89"/>
  <c r="L49" i="89"/>
  <c r="K49" i="89"/>
  <c r="H49" i="89"/>
  <c r="G49" i="89"/>
  <c r="F49" i="89"/>
  <c r="D49" i="89"/>
  <c r="M46" i="89"/>
  <c r="L46" i="89"/>
  <c r="K46" i="89"/>
  <c r="J46" i="89"/>
  <c r="I46" i="89"/>
  <c r="H46" i="89"/>
  <c r="G46" i="89"/>
  <c r="F46" i="89"/>
  <c r="E46" i="89"/>
  <c r="D46" i="89"/>
  <c r="M40" i="89"/>
  <c r="N40" i="89" s="1"/>
  <c r="L40" i="89"/>
  <c r="D40" i="89"/>
  <c r="L39" i="89"/>
  <c r="L38" i="89" s="1"/>
  <c r="K39" i="89"/>
  <c r="K38" i="89" s="1"/>
  <c r="J39" i="89"/>
  <c r="J38" i="89" s="1"/>
  <c r="I39" i="89"/>
  <c r="I38" i="89" s="1"/>
  <c r="H39" i="89"/>
  <c r="H38" i="89" s="1"/>
  <c r="G39" i="89"/>
  <c r="G38" i="89" s="1"/>
  <c r="F39" i="89"/>
  <c r="F38" i="89" s="1"/>
  <c r="E39" i="89"/>
  <c r="E38" i="89" s="1"/>
  <c r="D39" i="89"/>
  <c r="D38" i="89" s="1"/>
  <c r="M37" i="89"/>
  <c r="N37" i="89" s="1"/>
  <c r="O38" i="145"/>
  <c r="P32" i="145"/>
  <c r="O32" i="145"/>
  <c r="O29" i="145"/>
  <c r="N29" i="145"/>
  <c r="O28" i="145"/>
  <c r="N28" i="145"/>
  <c r="N27" i="145"/>
  <c r="M27" i="145"/>
  <c r="L27" i="145"/>
  <c r="O26" i="145"/>
  <c r="N26" i="145"/>
  <c r="M26" i="145"/>
  <c r="N25" i="145"/>
  <c r="M24" i="145"/>
  <c r="N24" i="145" s="1"/>
  <c r="O23" i="145"/>
  <c r="N23" i="145"/>
  <c r="N22" i="145"/>
  <c r="N21" i="145"/>
  <c r="M21" i="145"/>
  <c r="L20" i="145"/>
  <c r="L19" i="145" s="1"/>
  <c r="L8" i="145" s="1"/>
  <c r="K20" i="145"/>
  <c r="J20" i="145"/>
  <c r="I20" i="145"/>
  <c r="I19" i="145" s="1"/>
  <c r="H20" i="145"/>
  <c r="H19" i="145" s="1"/>
  <c r="H8" i="145" s="1"/>
  <c r="G20" i="145"/>
  <c r="F20" i="145"/>
  <c r="E20" i="145"/>
  <c r="E19" i="145" s="1"/>
  <c r="D20" i="145"/>
  <c r="D19" i="145" s="1"/>
  <c r="K19" i="145"/>
  <c r="J19" i="145"/>
  <c r="G19" i="145"/>
  <c r="F19" i="145"/>
  <c r="O18" i="145"/>
  <c r="N18" i="145"/>
  <c r="N17" i="145"/>
  <c r="M16" i="145"/>
  <c r="M9" i="145" s="1"/>
  <c r="L16" i="145"/>
  <c r="K16" i="145"/>
  <c r="J16" i="145"/>
  <c r="I16" i="145"/>
  <c r="I9" i="145" s="1"/>
  <c r="H16" i="145"/>
  <c r="G16" i="145"/>
  <c r="F16" i="145"/>
  <c r="E16" i="145"/>
  <c r="E9" i="145" s="1"/>
  <c r="D16" i="145"/>
  <c r="O15" i="145"/>
  <c r="N15" i="145"/>
  <c r="O14" i="145"/>
  <c r="N14" i="145"/>
  <c r="N13" i="145"/>
  <c r="O12" i="145"/>
  <c r="N12" i="145"/>
  <c r="P11" i="145"/>
  <c r="O11" i="145"/>
  <c r="N11" i="145"/>
  <c r="M10" i="145"/>
  <c r="L10" i="145"/>
  <c r="N10" i="145" s="1"/>
  <c r="D10" i="145"/>
  <c r="D9" i="145" s="1"/>
  <c r="D8" i="145" s="1"/>
  <c r="L9" i="145"/>
  <c r="K9" i="145"/>
  <c r="K8" i="145" s="1"/>
  <c r="J9" i="145"/>
  <c r="H9" i="145"/>
  <c r="G9" i="145"/>
  <c r="G8" i="145" s="1"/>
  <c r="F9" i="145"/>
  <c r="J8" i="145"/>
  <c r="F8" i="145"/>
  <c r="I20" i="88"/>
  <c r="N46" i="89" l="1"/>
  <c r="M50" i="89"/>
  <c r="N50" i="89" s="1"/>
  <c r="M39" i="89"/>
  <c r="M49" i="89"/>
  <c r="N49" i="89" s="1"/>
  <c r="E8" i="145"/>
  <c r="I8" i="145"/>
  <c r="N9" i="145"/>
  <c r="N16" i="145"/>
  <c r="M20" i="145"/>
  <c r="N39" i="89" l="1"/>
  <c r="M38" i="89"/>
  <c r="N38" i="89" s="1"/>
  <c r="N20" i="145"/>
  <c r="M19" i="145"/>
  <c r="N19" i="145" l="1"/>
  <c r="O10" i="145"/>
  <c r="M8" i="145"/>
  <c r="N8" i="145" s="1"/>
  <c r="R8" i="89" l="1"/>
  <c r="K15" i="88"/>
  <c r="K18" i="88"/>
  <c r="D48" i="78"/>
  <c r="N15" i="88"/>
  <c r="E15" i="88"/>
  <c r="D15" i="88"/>
  <c r="T14" i="88"/>
  <c r="AB14" i="88"/>
  <c r="E14" i="88"/>
  <c r="E13" i="88"/>
  <c r="L36" i="89" l="1"/>
  <c r="M36" i="89" s="1"/>
  <c r="N36" i="89" s="1"/>
  <c r="M35" i="89"/>
  <c r="L33" i="89"/>
  <c r="B33" i="89"/>
  <c r="M32" i="89"/>
  <c r="N32" i="89" s="1"/>
  <c r="M31" i="89"/>
  <c r="L31" i="89"/>
  <c r="L30" i="89" s="1"/>
  <c r="C29" i="89"/>
  <c r="L28" i="89"/>
  <c r="N28" i="89" s="1"/>
  <c r="M24" i="89"/>
  <c r="L24" i="89"/>
  <c r="M20" i="89"/>
  <c r="N20" i="89" s="1"/>
  <c r="L19" i="89"/>
  <c r="M18" i="89"/>
  <c r="N18" i="89" s="1"/>
  <c r="M17" i="89"/>
  <c r="N17" i="89" s="1"/>
  <c r="M16" i="89"/>
  <c r="N16" i="89" s="1"/>
  <c r="C15" i="89"/>
  <c r="M14" i="89"/>
  <c r="N14" i="89" s="1"/>
  <c r="L13" i="89"/>
  <c r="L12" i="89" s="1"/>
  <c r="N24" i="89" l="1"/>
  <c r="N31" i="89"/>
  <c r="M33" i="89"/>
  <c r="N33" i="89" s="1"/>
  <c r="N35" i="89"/>
  <c r="M23" i="89"/>
  <c r="L23" i="89"/>
  <c r="L11" i="89" s="1"/>
  <c r="L10" i="89" s="1"/>
  <c r="M13" i="89"/>
  <c r="N13" i="89" s="1"/>
  <c r="M19" i="89"/>
  <c r="N19" i="89" s="1"/>
  <c r="M30" i="89" l="1"/>
  <c r="N30" i="89" s="1"/>
  <c r="N23" i="89"/>
  <c r="M12" i="89"/>
  <c r="M11" i="89" l="1"/>
  <c r="N12" i="89"/>
  <c r="C48" i="78"/>
  <c r="J49" i="78"/>
  <c r="L32" i="75"/>
  <c r="M32" i="75" s="1"/>
  <c r="N32" i="75" s="1"/>
  <c r="J21" i="78"/>
  <c r="M10" i="89" l="1"/>
  <c r="N10" i="89" s="1"/>
  <c r="N11" i="89"/>
  <c r="D69" i="78"/>
  <c r="D72" i="78"/>
  <c r="D77" i="78"/>
  <c r="D75" i="78" s="1"/>
  <c r="D99" i="78"/>
  <c r="D87" i="78"/>
  <c r="C87" i="78"/>
  <c r="C102" i="78"/>
  <c r="D102" i="78" s="1"/>
  <c r="D65" i="78"/>
  <c r="D63" i="78" s="1"/>
  <c r="D42" i="78"/>
  <c r="D32" i="78"/>
  <c r="C47" i="78" l="1"/>
  <c r="D31" i="75" s="1"/>
  <c r="C48" i="79" s="1"/>
  <c r="C47" i="79" s="1"/>
  <c r="D47" i="78"/>
  <c r="D53" i="78"/>
  <c r="D51" i="78" s="1"/>
  <c r="C45" i="78"/>
  <c r="J45" i="78" s="1"/>
  <c r="C42" i="78"/>
  <c r="J42" i="78" s="1"/>
  <c r="C41" i="78"/>
  <c r="C39" i="78"/>
  <c r="J39" i="78" s="1"/>
  <c r="D31" i="78"/>
  <c r="D34" i="78"/>
  <c r="D37" i="78"/>
  <c r="D40" i="78"/>
  <c r="C43" i="78"/>
  <c r="C36" i="78"/>
  <c r="J36" i="78" s="1"/>
  <c r="J32" i="78"/>
  <c r="D57" i="78"/>
  <c r="C57" i="78"/>
  <c r="C59" i="78"/>
  <c r="J59" i="78" s="1"/>
  <c r="D54" i="78"/>
  <c r="C55" i="78"/>
  <c r="J55" i="78" s="1"/>
  <c r="C52" i="78"/>
  <c r="J52" i="78" s="1"/>
  <c r="C53" i="78"/>
  <c r="J64" i="78"/>
  <c r="C65" i="78"/>
  <c r="J65" i="78" s="1"/>
  <c r="D66" i="78"/>
  <c r="D62" i="78" s="1"/>
  <c r="C71" i="78"/>
  <c r="J71" i="78" s="1"/>
  <c r="C74" i="78"/>
  <c r="J74" i="78" s="1"/>
  <c r="C77" i="78"/>
  <c r="J77" i="78" s="1"/>
  <c r="C76" i="78"/>
  <c r="J76" i="78" s="1"/>
  <c r="C73" i="78"/>
  <c r="C68" i="78"/>
  <c r="J68" i="78" s="1"/>
  <c r="D95" i="78"/>
  <c r="B80" i="78"/>
  <c r="C81" i="78"/>
  <c r="O35" i="75" s="1"/>
  <c r="J102" i="78"/>
  <c r="C72" i="78" l="1"/>
  <c r="J81" i="78"/>
  <c r="C19" i="78"/>
  <c r="C9" i="78" s="1"/>
  <c r="O47" i="78"/>
  <c r="E31" i="75"/>
  <c r="D16" i="78" s="1"/>
  <c r="C75" i="78"/>
  <c r="J53" i="78"/>
  <c r="C37" i="78"/>
  <c r="C69" i="78"/>
  <c r="C66" i="78"/>
  <c r="C63" i="78"/>
  <c r="C51" i="78"/>
  <c r="C54" i="78"/>
  <c r="C34" i="78"/>
  <c r="D50" i="78"/>
  <c r="D46" i="78" s="1"/>
  <c r="O46" i="78" s="1"/>
  <c r="C31" i="78"/>
  <c r="J41" i="78"/>
  <c r="C40" i="78"/>
  <c r="C30" i="78" l="1"/>
  <c r="C28" i="78" s="1"/>
  <c r="J12" i="81"/>
  <c r="Q12" i="81" s="1"/>
  <c r="D48" i="79"/>
  <c r="AB35" i="79"/>
  <c r="C62" i="78"/>
  <c r="C50" i="78"/>
  <c r="C46" i="78" s="1"/>
  <c r="E46" i="78" s="1"/>
  <c r="D101" i="78"/>
  <c r="D86" i="78"/>
  <c r="D88" i="78"/>
  <c r="D89" i="78"/>
  <c r="D91" i="78"/>
  <c r="D92" i="78"/>
  <c r="D93" i="78"/>
  <c r="D94" i="78"/>
  <c r="D96" i="78"/>
  <c r="D97" i="78"/>
  <c r="D98" i="78"/>
  <c r="D85" i="78"/>
  <c r="D103" i="78"/>
  <c r="O82" i="78"/>
  <c r="P85" i="78" l="1"/>
  <c r="D10" i="78"/>
  <c r="D23" i="79"/>
  <c r="D13" i="79" s="1"/>
  <c r="D12" i="79" s="1"/>
  <c r="D11" i="78"/>
  <c r="J82" i="78"/>
  <c r="D81" i="78"/>
  <c r="E19" i="75" l="1"/>
  <c r="D10" i="58"/>
  <c r="D12" i="58"/>
  <c r="E28" i="75" l="1"/>
  <c r="D43" i="79" s="1"/>
  <c r="E27" i="75"/>
  <c r="D50" i="79" l="1"/>
  <c r="I37" i="81"/>
  <c r="D15" i="75"/>
  <c r="D14" i="75"/>
  <c r="L15" i="75" s="1"/>
  <c r="D13" i="75" l="1"/>
  <c r="I39" i="59"/>
  <c r="I37" i="59"/>
  <c r="M10" i="59" l="1"/>
  <c r="A46" i="59" l="1"/>
  <c r="O42" i="59"/>
  <c r="M21" i="59"/>
  <c r="N9" i="59" s="1"/>
  <c r="D26" i="77" l="1"/>
  <c r="D27" i="77"/>
  <c r="D28" i="77"/>
  <c r="D30" i="77"/>
  <c r="D22" i="77"/>
  <c r="A1" i="132" l="1"/>
  <c r="H29" i="131" l="1"/>
  <c r="H34" i="131" s="1"/>
  <c r="C26" i="131"/>
  <c r="C25" i="131"/>
  <c r="I25" i="131" s="1"/>
  <c r="F24" i="131"/>
  <c r="C24" i="131" s="1"/>
  <c r="I24" i="131" s="1"/>
  <c r="C23" i="131"/>
  <c r="I23" i="131" s="1"/>
  <c r="C22" i="131"/>
  <c r="I22" i="131" s="1"/>
  <c r="H21" i="131"/>
  <c r="C21" i="131"/>
  <c r="C20" i="131"/>
  <c r="I20" i="131" s="1"/>
  <c r="C15" i="131"/>
  <c r="I15" i="131" s="1"/>
  <c r="G14" i="131"/>
  <c r="C14" i="131"/>
  <c r="I14" i="131" s="1"/>
  <c r="C11" i="131"/>
  <c r="I11" i="131" s="1"/>
  <c r="C12" i="131"/>
  <c r="I12" i="131" s="1"/>
  <c r="C10" i="131"/>
  <c r="I10" i="131" s="1"/>
  <c r="C9" i="131"/>
  <c r="I9" i="131" s="1"/>
  <c r="C8" i="131"/>
  <c r="I8" i="131" s="1"/>
  <c r="P7" i="131"/>
  <c r="O7" i="131"/>
  <c r="L7" i="131"/>
  <c r="K7" i="131"/>
  <c r="J7" i="131"/>
  <c r="G7" i="131"/>
  <c r="E7" i="131"/>
  <c r="D7" i="131"/>
  <c r="F7" i="131" l="1"/>
  <c r="I21" i="131"/>
  <c r="I7" i="131" s="1"/>
  <c r="C7" i="131"/>
  <c r="M22" i="131"/>
  <c r="N22" i="131" s="1"/>
  <c r="M10" i="131"/>
  <c r="N10" i="131" s="1"/>
  <c r="M12" i="131"/>
  <c r="N12" i="131" s="1"/>
  <c r="M8" i="131"/>
  <c r="M11" i="131"/>
  <c r="N11" i="131" s="1"/>
  <c r="M9" i="131"/>
  <c r="N9" i="131" s="1"/>
  <c r="M21" i="131"/>
  <c r="N21" i="131" s="1"/>
  <c r="H7" i="131"/>
  <c r="M14" i="131"/>
  <c r="N14" i="131" s="1"/>
  <c r="M15" i="131"/>
  <c r="N15" i="131" s="1"/>
  <c r="M20" i="131"/>
  <c r="N20" i="131" s="1"/>
  <c r="M7" i="131" l="1"/>
  <c r="N8" i="131"/>
  <c r="N7" i="131" s="1"/>
  <c r="N21" i="59" l="1"/>
  <c r="N10" i="59" s="1"/>
  <c r="O10" i="59" s="1"/>
  <c r="Y13" i="59" l="1"/>
  <c r="G8" i="99" l="1"/>
  <c r="C8" i="99"/>
  <c r="H18" i="99"/>
  <c r="AF15" i="124"/>
  <c r="O33" i="125" l="1"/>
  <c r="O22" i="125"/>
  <c r="O23" i="125"/>
  <c r="O24" i="125"/>
  <c r="O25" i="125"/>
  <c r="O26" i="125"/>
  <c r="O27" i="125"/>
  <c r="O28" i="125"/>
  <c r="O29" i="125"/>
  <c r="O30" i="125"/>
  <c r="O31" i="125"/>
  <c r="O32" i="125"/>
  <c r="O14" i="125"/>
  <c r="O15" i="125"/>
  <c r="O16" i="125"/>
  <c r="O17" i="125"/>
  <c r="O18" i="125"/>
  <c r="O19" i="125"/>
  <c r="O20" i="125"/>
  <c r="O21" i="125"/>
  <c r="O13" i="125"/>
  <c r="O12" i="125"/>
  <c r="L16" i="67" l="1"/>
  <c r="K15" i="67"/>
  <c r="L18" i="99" l="1"/>
  <c r="L21" i="99"/>
  <c r="J21" i="99"/>
  <c r="I21" i="99"/>
  <c r="H21" i="99"/>
  <c r="K18" i="99"/>
  <c r="J18" i="99"/>
  <c r="I18" i="99"/>
  <c r="E23" i="59" l="1"/>
  <c r="Y30" i="59"/>
  <c r="Y28" i="59"/>
  <c r="Y25" i="59"/>
  <c r="Y24" i="59"/>
  <c r="Y23" i="59"/>
  <c r="Y14" i="59"/>
  <c r="Y12" i="59"/>
  <c r="Y26" i="59"/>
  <c r="Y27" i="59"/>
  <c r="Y29" i="59"/>
  <c r="Y31" i="59"/>
  <c r="Y32" i="59"/>
  <c r="Y33" i="59"/>
  <c r="Y34" i="59"/>
  <c r="Y37" i="59"/>
  <c r="Y39" i="59"/>
  <c r="Y40" i="59"/>
  <c r="Y41" i="59"/>
  <c r="Y42" i="59"/>
  <c r="Y43" i="59"/>
  <c r="E21" i="99" l="1"/>
  <c r="C21" i="99" l="1"/>
  <c r="F4" i="130"/>
  <c r="E17" i="99" l="1"/>
  <c r="C13" i="124"/>
  <c r="Y8" i="124"/>
  <c r="D21" i="123" l="1"/>
  <c r="V15" i="124"/>
  <c r="U19" i="99"/>
  <c r="AB13" i="124"/>
  <c r="L15" i="124"/>
  <c r="H38" i="80" l="1"/>
  <c r="I10" i="59" l="1"/>
  <c r="I9" i="59" s="1"/>
  <c r="H11" i="80"/>
  <c r="D12" i="125"/>
  <c r="D11" i="125" s="1"/>
  <c r="D10" i="125" s="1"/>
  <c r="D9" i="125" s="1"/>
  <c r="D26" i="64" l="1"/>
  <c r="D21" i="75" l="1"/>
  <c r="M23" i="75" l="1"/>
  <c r="T32" i="79"/>
  <c r="G56" i="80"/>
  <c r="F56" i="80" s="1"/>
  <c r="H57" i="80"/>
  <c r="G57" i="80" s="1"/>
  <c r="F48" i="80"/>
  <c r="F49" i="80"/>
  <c r="F50" i="80"/>
  <c r="F51" i="80"/>
  <c r="F53" i="80"/>
  <c r="F54" i="80"/>
  <c r="F55" i="80"/>
  <c r="F46" i="80"/>
  <c r="G52" i="80"/>
  <c r="F52" i="80" s="1"/>
  <c r="H47" i="80"/>
  <c r="F47" i="80" s="1"/>
  <c r="U25" i="124"/>
  <c r="A48" i="59"/>
  <c r="A86" i="121" s="1"/>
  <c r="A47" i="59"/>
  <c r="A85" i="121" s="1"/>
  <c r="G38" i="80" l="1"/>
  <c r="F57" i="80"/>
  <c r="G23" i="67" l="1"/>
  <c r="D44" i="121"/>
  <c r="R15" i="89" l="1"/>
  <c r="D9" i="75" l="1"/>
  <c r="N38" i="124" l="1"/>
  <c r="N27" i="124" s="1"/>
  <c r="N35" i="124"/>
  <c r="N34" i="124"/>
  <c r="N37" i="124"/>
  <c r="G4" i="130"/>
  <c r="D12" i="124"/>
  <c r="L31" i="123"/>
  <c r="L22" i="123"/>
  <c r="M13" i="124"/>
  <c r="D12" i="99"/>
  <c r="E13" i="99"/>
  <c r="T17" i="124" s="1"/>
  <c r="E14" i="99"/>
  <c r="C14" i="99" s="1"/>
  <c r="D45" i="99"/>
  <c r="D44" i="99" s="1"/>
  <c r="M12" i="125"/>
  <c r="N14" i="124"/>
  <c r="E4" i="130"/>
  <c r="D14" i="130"/>
  <c r="D17" i="130"/>
  <c r="F15" i="130"/>
  <c r="D6" i="130"/>
  <c r="D4" i="130" s="1"/>
  <c r="D42" i="99"/>
  <c r="E42" i="99"/>
  <c r="C43" i="99"/>
  <c r="C42" i="99" s="1"/>
  <c r="U16" i="124"/>
  <c r="T15" i="124"/>
  <c r="S14" i="124"/>
  <c r="G56" i="124"/>
  <c r="H56" i="124"/>
  <c r="I56" i="124"/>
  <c r="J56" i="124"/>
  <c r="K56" i="124"/>
  <c r="L56" i="124"/>
  <c r="M56" i="124"/>
  <c r="N56" i="124"/>
  <c r="O56" i="124"/>
  <c r="Q56" i="124"/>
  <c r="U56" i="124"/>
  <c r="V56" i="124"/>
  <c r="W56" i="124"/>
  <c r="F56" i="124"/>
  <c r="T57" i="124"/>
  <c r="T56" i="124" s="1"/>
  <c r="Q18" i="124"/>
  <c r="Q17" i="124"/>
  <c r="O17" i="124" s="1"/>
  <c r="R42" i="124"/>
  <c r="R43" i="124"/>
  <c r="R45" i="124"/>
  <c r="R46" i="124"/>
  <c r="R47" i="124"/>
  <c r="R48" i="124"/>
  <c r="R49" i="124"/>
  <c r="R50" i="124"/>
  <c r="R52" i="124"/>
  <c r="R54" i="124"/>
  <c r="R41" i="124"/>
  <c r="R39" i="124"/>
  <c r="R22" i="124"/>
  <c r="R23" i="124"/>
  <c r="R24" i="124"/>
  <c r="R26" i="124"/>
  <c r="P40" i="124"/>
  <c r="S40" i="124"/>
  <c r="T40" i="124"/>
  <c r="W40" i="124"/>
  <c r="P27" i="124"/>
  <c r="S27" i="124"/>
  <c r="W27" i="124"/>
  <c r="Q42" i="124"/>
  <c r="O42" i="124" s="1"/>
  <c r="Q45" i="124"/>
  <c r="O45" i="124" s="1"/>
  <c r="Q46" i="124"/>
  <c r="Q47" i="124"/>
  <c r="Q48" i="124"/>
  <c r="Q49" i="124"/>
  <c r="Q50" i="124"/>
  <c r="Q52" i="124"/>
  <c r="Q54" i="124"/>
  <c r="O54" i="124" s="1"/>
  <c r="Q41" i="124"/>
  <c r="O41" i="124" s="1"/>
  <c r="Q36" i="124"/>
  <c r="Q39" i="124"/>
  <c r="Q33" i="124"/>
  <c r="Q30" i="124"/>
  <c r="V25" i="124"/>
  <c r="R25" i="124" s="1"/>
  <c r="U53" i="124"/>
  <c r="V55" i="124"/>
  <c r="R55" i="124" s="1"/>
  <c r="S10" i="126"/>
  <c r="D40" i="124"/>
  <c r="E40" i="124"/>
  <c r="G40" i="124"/>
  <c r="H40" i="124"/>
  <c r="J40" i="124"/>
  <c r="L40" i="124"/>
  <c r="M40" i="124"/>
  <c r="N40" i="124"/>
  <c r="O46" i="124"/>
  <c r="O47" i="124"/>
  <c r="O48" i="124"/>
  <c r="O52" i="124"/>
  <c r="O55" i="124"/>
  <c r="O39" i="124"/>
  <c r="F54" i="124"/>
  <c r="F55" i="124"/>
  <c r="V53" i="124"/>
  <c r="V51" i="124"/>
  <c r="Q51" i="124" s="1"/>
  <c r="O51" i="124" s="1"/>
  <c r="V38" i="124"/>
  <c r="V35" i="124"/>
  <c r="V34" i="124"/>
  <c r="Q34" i="124" s="1"/>
  <c r="V31" i="124"/>
  <c r="Q31" i="124" s="1"/>
  <c r="V29" i="124"/>
  <c r="Q29" i="124" s="1"/>
  <c r="V28" i="124"/>
  <c r="Q28" i="124" s="1"/>
  <c r="Q26" i="124"/>
  <c r="O26" i="124" s="1"/>
  <c r="Q21" i="124"/>
  <c r="N19" i="124"/>
  <c r="Q20" i="124"/>
  <c r="O49" i="124" l="1"/>
  <c r="Q53" i="124"/>
  <c r="O53" i="124" s="1"/>
  <c r="D11" i="124"/>
  <c r="O50" i="124"/>
  <c r="AB49" i="124"/>
  <c r="D41" i="99"/>
  <c r="Q35" i="124"/>
  <c r="E12" i="99"/>
  <c r="Q38" i="124"/>
  <c r="T18" i="124"/>
  <c r="R53" i="124"/>
  <c r="U40" i="124"/>
  <c r="R51" i="124"/>
  <c r="D27" i="124"/>
  <c r="E27" i="124"/>
  <c r="D16" i="124"/>
  <c r="E16" i="124"/>
  <c r="D10" i="124" l="1"/>
  <c r="C29" i="64"/>
  <c r="C42" i="124"/>
  <c r="C43" i="124"/>
  <c r="C44" i="124"/>
  <c r="C46" i="124"/>
  <c r="C47" i="124"/>
  <c r="C48" i="124"/>
  <c r="C49" i="124"/>
  <c r="C50" i="124"/>
  <c r="C51" i="124"/>
  <c r="C52" i="124"/>
  <c r="C53" i="124"/>
  <c r="C54" i="124"/>
  <c r="C41" i="124"/>
  <c r="C33" i="124"/>
  <c r="C38" i="124"/>
  <c r="C39" i="124"/>
  <c r="C18" i="124"/>
  <c r="C19" i="124"/>
  <c r="C20" i="124"/>
  <c r="C21" i="124"/>
  <c r="C22" i="124"/>
  <c r="C23" i="124"/>
  <c r="C24" i="124"/>
  <c r="C25" i="124"/>
  <c r="C26" i="124"/>
  <c r="C17" i="124"/>
  <c r="M27" i="124"/>
  <c r="N22" i="124"/>
  <c r="N25" i="124"/>
  <c r="I54" i="124"/>
  <c r="I33" i="124"/>
  <c r="I34" i="124"/>
  <c r="I35" i="124"/>
  <c r="I36" i="124"/>
  <c r="I37" i="124"/>
  <c r="I38" i="124"/>
  <c r="I39" i="124"/>
  <c r="I32" i="124"/>
  <c r="I31" i="124"/>
  <c r="I51" i="124"/>
  <c r="I50" i="124"/>
  <c r="I49" i="124"/>
  <c r="L19" i="124"/>
  <c r="N24" i="124"/>
  <c r="Q24" i="124" s="1"/>
  <c r="N23" i="124"/>
  <c r="I48" i="124"/>
  <c r="I52" i="124"/>
  <c r="I47" i="124"/>
  <c r="L14" i="124"/>
  <c r="N15" i="124"/>
  <c r="N12" i="124" s="1"/>
  <c r="K44" i="124"/>
  <c r="M12" i="124"/>
  <c r="L29" i="124"/>
  <c r="L30" i="124"/>
  <c r="L31" i="124"/>
  <c r="L32" i="124"/>
  <c r="L33" i="124"/>
  <c r="L34" i="124"/>
  <c r="L35" i="124"/>
  <c r="L36" i="124"/>
  <c r="L37" i="124"/>
  <c r="L38" i="124"/>
  <c r="L28" i="124"/>
  <c r="L18" i="124"/>
  <c r="L20" i="124"/>
  <c r="L21" i="124"/>
  <c r="L26" i="124"/>
  <c r="I16" i="124"/>
  <c r="J16" i="124"/>
  <c r="K16" i="124"/>
  <c r="M16" i="124"/>
  <c r="L17" i="124"/>
  <c r="J27" i="124"/>
  <c r="K27" i="124"/>
  <c r="H27" i="124"/>
  <c r="K43" i="124"/>
  <c r="I42" i="124"/>
  <c r="I45" i="124"/>
  <c r="I46" i="124"/>
  <c r="I53" i="124"/>
  <c r="I41" i="124"/>
  <c r="I14" i="124"/>
  <c r="I15" i="124"/>
  <c r="I13" i="124"/>
  <c r="J12" i="124"/>
  <c r="K12" i="124"/>
  <c r="K11" i="124" s="1"/>
  <c r="F33" i="124"/>
  <c r="F34" i="124"/>
  <c r="F35" i="124"/>
  <c r="F29" i="124"/>
  <c r="F30" i="124"/>
  <c r="F31" i="124"/>
  <c r="F32" i="124"/>
  <c r="G27" i="124"/>
  <c r="G16" i="124"/>
  <c r="H16" i="124"/>
  <c r="F24" i="124"/>
  <c r="F25" i="124"/>
  <c r="F26" i="124"/>
  <c r="F22" i="124"/>
  <c r="H15" i="124"/>
  <c r="H14" i="124"/>
  <c r="H13" i="124"/>
  <c r="G15" i="124"/>
  <c r="G13" i="124"/>
  <c r="F18" i="124"/>
  <c r="F17" i="124"/>
  <c r="M11" i="124" l="1"/>
  <c r="M10" i="124" s="1"/>
  <c r="N16" i="124"/>
  <c r="N11" i="124" s="1"/>
  <c r="N10" i="124" s="1"/>
  <c r="Q25" i="124"/>
  <c r="O25" i="124" s="1"/>
  <c r="L27" i="124"/>
  <c r="I44" i="124"/>
  <c r="L24" i="124"/>
  <c r="O24" i="124"/>
  <c r="C16" i="124"/>
  <c r="L25" i="124"/>
  <c r="Q22" i="124"/>
  <c r="X49" i="124"/>
  <c r="Y49" i="124" s="1"/>
  <c r="X48" i="124"/>
  <c r="Y48" i="124" s="1"/>
  <c r="X41" i="124"/>
  <c r="Y41" i="124" s="1"/>
  <c r="X47" i="124"/>
  <c r="Y47" i="124" s="1"/>
  <c r="L22" i="124"/>
  <c r="I43" i="124"/>
  <c r="Q43" i="124"/>
  <c r="K40" i="124"/>
  <c r="K10" i="124" s="1"/>
  <c r="L23" i="124"/>
  <c r="Q23" i="124"/>
  <c r="O23" i="124" s="1"/>
  <c r="I27" i="124"/>
  <c r="L13" i="124"/>
  <c r="H12" i="124"/>
  <c r="H11" i="124" s="1"/>
  <c r="H10" i="124" s="1"/>
  <c r="J11" i="124"/>
  <c r="J10" i="124" s="1"/>
  <c r="I12" i="124"/>
  <c r="I11" i="124" s="1"/>
  <c r="I40" i="124" l="1"/>
  <c r="C30" i="64"/>
  <c r="L12" i="124"/>
  <c r="L11" i="124" s="1"/>
  <c r="L10" i="124" s="1"/>
  <c r="L16" i="124"/>
  <c r="O43" i="124"/>
  <c r="O22" i="124"/>
  <c r="I10" i="124"/>
  <c r="E38" i="80"/>
  <c r="D17" i="80"/>
  <c r="G21" i="76"/>
  <c r="D33" i="75"/>
  <c r="O23" i="75" l="1"/>
  <c r="D11" i="80"/>
  <c r="K23" i="75"/>
  <c r="J25" i="58" l="1"/>
  <c r="C26" i="99" l="1"/>
  <c r="D21" i="99"/>
  <c r="E24" i="99" l="1"/>
  <c r="O18" i="85"/>
  <c r="E19" i="99"/>
  <c r="F22" i="99" s="1"/>
  <c r="L24" i="123"/>
  <c r="F18" i="58"/>
  <c r="N40" i="99" l="1"/>
  <c r="N23" i="123" l="1"/>
  <c r="H39" i="80"/>
  <c r="O10" i="85" l="1"/>
  <c r="A1" i="86"/>
  <c r="A3" i="86"/>
  <c r="D10" i="86"/>
  <c r="H10" i="86"/>
  <c r="L10" i="86"/>
  <c r="G11" i="86"/>
  <c r="E11" i="86" s="1"/>
  <c r="G12" i="86"/>
  <c r="E12" i="86" s="1"/>
  <c r="C12" i="86" s="1"/>
  <c r="G13" i="86"/>
  <c r="G14" i="86"/>
  <c r="E14" i="86" s="1"/>
  <c r="C14" i="86" s="1"/>
  <c r="J15" i="86"/>
  <c r="I15" i="86" s="1"/>
  <c r="G16" i="86"/>
  <c r="E16" i="86" s="1"/>
  <c r="C16" i="86" s="1"/>
  <c r="I17" i="86"/>
  <c r="G17" i="86" s="1"/>
  <c r="E17" i="86" s="1"/>
  <c r="C17" i="86" s="1"/>
  <c r="I18" i="86"/>
  <c r="G18" i="86" s="1"/>
  <c r="E18" i="86" s="1"/>
  <c r="C18" i="86" s="1"/>
  <c r="C15" i="99"/>
  <c r="E10" i="99"/>
  <c r="D36" i="99"/>
  <c r="D34" i="99"/>
  <c r="I29" i="99" s="1"/>
  <c r="C47" i="99"/>
  <c r="D16" i="126"/>
  <c r="F5" i="126"/>
  <c r="G13" i="126"/>
  <c r="J10" i="126"/>
  <c r="C40" i="99"/>
  <c r="C39" i="99"/>
  <c r="C38" i="99"/>
  <c r="P57" i="124" l="1"/>
  <c r="D29" i="99"/>
  <c r="J13" i="126"/>
  <c r="V37" i="124"/>
  <c r="H28" i="99"/>
  <c r="V32" i="124"/>
  <c r="G5" i="126"/>
  <c r="J10" i="86"/>
  <c r="G15" i="86"/>
  <c r="E15" i="86" s="1"/>
  <c r="C15" i="86" s="1"/>
  <c r="I10" i="86"/>
  <c r="E13" i="86"/>
  <c r="C13" i="86" s="1"/>
  <c r="C11" i="86"/>
  <c r="P9" i="123"/>
  <c r="S9" i="123"/>
  <c r="U14" i="89" l="1"/>
  <c r="U11" i="89" s="1"/>
  <c r="P56" i="124"/>
  <c r="S57" i="124"/>
  <c r="Q32" i="124"/>
  <c r="V27" i="124"/>
  <c r="R37" i="124"/>
  <c r="Q37" i="124"/>
  <c r="C10" i="86"/>
  <c r="E10" i="86"/>
  <c r="G10" i="86"/>
  <c r="E14" i="126"/>
  <c r="E13" i="126"/>
  <c r="D18" i="126"/>
  <c r="H18" i="126" s="1"/>
  <c r="D24" i="83"/>
  <c r="D23" i="83"/>
  <c r="D19" i="83"/>
  <c r="H18" i="84" s="1"/>
  <c r="D18" i="83"/>
  <c r="H17" i="84" s="1"/>
  <c r="D16" i="83"/>
  <c r="H15" i="84" s="1"/>
  <c r="D15" i="83"/>
  <c r="D14" i="83"/>
  <c r="D13" i="83"/>
  <c r="D11" i="83"/>
  <c r="H14" i="84" l="1"/>
  <c r="S56" i="124"/>
  <c r="R57" i="124"/>
  <c r="R56" i="124" s="1"/>
  <c r="D17" i="83"/>
  <c r="H16" i="84" s="1"/>
  <c r="Q27" i="124"/>
  <c r="H19" i="67"/>
  <c r="G19" i="67"/>
  <c r="D19" i="67"/>
  <c r="D13" i="67"/>
  <c r="G13" i="67"/>
  <c r="G8" i="67"/>
  <c r="A3" i="67"/>
  <c r="A3" i="133" s="1"/>
  <c r="A1" i="67"/>
  <c r="A3" i="135" l="1"/>
  <c r="A3" i="136" s="1"/>
  <c r="A3" i="137" s="1"/>
  <c r="A3" i="138" s="1"/>
  <c r="A3" i="139" s="1"/>
  <c r="A3" i="140" s="1"/>
  <c r="A3" i="134"/>
  <c r="H13" i="67"/>
  <c r="H8" i="67"/>
  <c r="D23" i="67"/>
  <c r="H23" i="67"/>
  <c r="G7" i="67"/>
  <c r="A3" i="149" l="1"/>
  <c r="D7" i="67"/>
  <c r="D8" i="67"/>
  <c r="H7" i="67"/>
  <c r="D17" i="126" l="1"/>
  <c r="C16" i="126"/>
  <c r="C5" i="126" s="1"/>
  <c r="H14" i="126"/>
  <c r="D13" i="126"/>
  <c r="H13" i="126" s="1"/>
  <c r="R10" i="126"/>
  <c r="E17" i="126" s="1"/>
  <c r="L9" i="126"/>
  <c r="K9" i="126"/>
  <c r="K7" i="126"/>
  <c r="L7" i="126"/>
  <c r="M10" i="126"/>
  <c r="N10" i="126"/>
  <c r="E11" i="126" s="1"/>
  <c r="H11" i="126" s="1"/>
  <c r="O10" i="126"/>
  <c r="E9" i="126" s="1"/>
  <c r="H9" i="126" s="1"/>
  <c r="P10" i="126"/>
  <c r="E15" i="126" s="1"/>
  <c r="Q10" i="126"/>
  <c r="E16" i="126" s="1"/>
  <c r="H16" i="126" s="1"/>
  <c r="E12" i="126"/>
  <c r="H12" i="126" s="1"/>
  <c r="D15" i="126"/>
  <c r="K4" i="126"/>
  <c r="I11" i="126" l="1"/>
  <c r="L10" i="126"/>
  <c r="E7" i="126" s="1"/>
  <c r="H7" i="126" s="1"/>
  <c r="H17" i="126"/>
  <c r="H15" i="126"/>
  <c r="K10" i="126"/>
  <c r="E6" i="126" s="1"/>
  <c r="H6" i="126" s="1"/>
  <c r="E10" i="126"/>
  <c r="H10" i="126" s="1"/>
  <c r="D5" i="126"/>
  <c r="T14" i="123"/>
  <c r="G14" i="76"/>
  <c r="H40" i="80"/>
  <c r="H41" i="80"/>
  <c r="H42" i="80"/>
  <c r="H43" i="80"/>
  <c r="H44" i="80"/>
  <c r="C16" i="66"/>
  <c r="C10" i="65"/>
  <c r="C11" i="65"/>
  <c r="C14" i="65"/>
  <c r="C15" i="65"/>
  <c r="C16" i="65"/>
  <c r="C17" i="65"/>
  <c r="D10" i="99"/>
  <c r="D9" i="99" s="1"/>
  <c r="D17" i="99"/>
  <c r="H44" i="99"/>
  <c r="I44" i="99"/>
  <c r="G45" i="99"/>
  <c r="G46" i="99"/>
  <c r="G48" i="99"/>
  <c r="C11" i="99"/>
  <c r="C20" i="99"/>
  <c r="C25" i="99"/>
  <c r="E29" i="99"/>
  <c r="D24" i="65" l="1"/>
  <c r="C25" i="65"/>
  <c r="D21" i="83"/>
  <c r="H20" i="84" s="1"/>
  <c r="J12" i="126"/>
  <c r="J15" i="126" s="1"/>
  <c r="H5" i="126"/>
  <c r="J5" i="126" s="1"/>
  <c r="I5" i="126"/>
  <c r="D27" i="99" l="1"/>
  <c r="D16" i="99" s="1"/>
  <c r="D8" i="99" s="1"/>
  <c r="E27" i="99"/>
  <c r="V44" i="124" s="1"/>
  <c r="C28" i="99"/>
  <c r="C27" i="99" s="1"/>
  <c r="C16" i="85"/>
  <c r="E18" i="99"/>
  <c r="E23" i="99"/>
  <c r="C22" i="99"/>
  <c r="O44" i="99"/>
  <c r="N44" i="99"/>
  <c r="M44" i="99"/>
  <c r="L44" i="99"/>
  <c r="K44" i="99"/>
  <c r="J44" i="99"/>
  <c r="H10" i="85"/>
  <c r="AB12" i="88"/>
  <c r="AC12" i="88"/>
  <c r="K12" i="88"/>
  <c r="U25" i="123"/>
  <c r="D22" i="123"/>
  <c r="L12" i="88"/>
  <c r="O12" i="88"/>
  <c r="R12" i="88"/>
  <c r="S12" i="88"/>
  <c r="U12" i="88"/>
  <c r="V12" i="88"/>
  <c r="Y12" i="88"/>
  <c r="Z12" i="88"/>
  <c r="T14" i="89"/>
  <c r="S13" i="89"/>
  <c r="R16" i="89"/>
  <c r="R12" i="89"/>
  <c r="O28" i="89"/>
  <c r="E11" i="125"/>
  <c r="E10" i="125" s="1"/>
  <c r="E9" i="125" s="1"/>
  <c r="F11" i="125"/>
  <c r="F10" i="125" s="1"/>
  <c r="F9" i="125" s="1"/>
  <c r="G11" i="125"/>
  <c r="G10" i="125" s="1"/>
  <c r="G9" i="125" s="1"/>
  <c r="H11" i="125"/>
  <c r="H10" i="125" s="1"/>
  <c r="H9" i="125" s="1"/>
  <c r="I11" i="125"/>
  <c r="I10" i="125" s="1"/>
  <c r="I9" i="125" s="1"/>
  <c r="J11" i="125"/>
  <c r="J10" i="125" s="1"/>
  <c r="J9" i="125" s="1"/>
  <c r="K11" i="125"/>
  <c r="K10" i="125" s="1"/>
  <c r="K9" i="125" s="1"/>
  <c r="L12" i="125"/>
  <c r="M22" i="125"/>
  <c r="M11" i="125" s="1"/>
  <c r="L22" i="125"/>
  <c r="T11" i="89" l="1"/>
  <c r="V19" i="124"/>
  <c r="J20" i="58"/>
  <c r="R44" i="124"/>
  <c r="R40" i="124" s="1"/>
  <c r="V40" i="124"/>
  <c r="Q44" i="124"/>
  <c r="R17" i="124"/>
  <c r="E9" i="99"/>
  <c r="M10" i="125"/>
  <c r="L11" i="125"/>
  <c r="L10" i="125" s="1"/>
  <c r="M37" i="99"/>
  <c r="O37" i="99"/>
  <c r="C18" i="99"/>
  <c r="C19" i="99"/>
  <c r="C13" i="99"/>
  <c r="C12" i="99" s="1"/>
  <c r="C23" i="99"/>
  <c r="C31" i="64" l="1"/>
  <c r="R19" i="124"/>
  <c r="Q19" i="124"/>
  <c r="Q16" i="124" s="1"/>
  <c r="V16" i="124"/>
  <c r="C17" i="99"/>
  <c r="E16" i="99"/>
  <c r="O44" i="124"/>
  <c r="O40" i="124" s="1"/>
  <c r="Q40" i="124"/>
  <c r="R14" i="89"/>
  <c r="S14" i="89"/>
  <c r="O19" i="124" l="1"/>
  <c r="S12" i="89"/>
  <c r="S11" i="89" s="1"/>
  <c r="Y33" i="89"/>
  <c r="R11" i="89" l="1"/>
  <c r="Q11" i="89" s="1"/>
  <c r="J15" i="88"/>
  <c r="V9" i="81" l="1"/>
  <c r="R22" i="123"/>
  <c r="N22" i="123" l="1"/>
  <c r="M22" i="123" s="1"/>
  <c r="F22" i="123" s="1"/>
  <c r="R9" i="123"/>
  <c r="N12" i="88"/>
  <c r="T13" i="88"/>
  <c r="G21" i="123" l="1"/>
  <c r="O9" i="123"/>
  <c r="N29" i="123"/>
  <c r="M29" i="123" s="1"/>
  <c r="F29" i="123" s="1"/>
  <c r="C29" i="123" s="1"/>
  <c r="N27" i="123"/>
  <c r="M27" i="123" s="1"/>
  <c r="F27" i="123" s="1"/>
  <c r="C27" i="123" s="1"/>
  <c r="N28" i="123"/>
  <c r="M28" i="123" s="1"/>
  <c r="F28" i="123" s="1"/>
  <c r="C28" i="123" s="1"/>
  <c r="N26" i="123"/>
  <c r="M26" i="123" s="1"/>
  <c r="F26" i="123" s="1"/>
  <c r="C26" i="123" s="1"/>
  <c r="N25" i="123"/>
  <c r="M25" i="123" s="1"/>
  <c r="F25" i="123" s="1"/>
  <c r="C25" i="123" s="1"/>
  <c r="Q14" i="123"/>
  <c r="Q9" i="123" s="1"/>
  <c r="L20" i="123"/>
  <c r="G11" i="123"/>
  <c r="D18" i="91"/>
  <c r="D20" i="83"/>
  <c r="H19" i="84" s="1"/>
  <c r="D22" i="83" l="1"/>
  <c r="H21" i="84" s="1"/>
  <c r="D12" i="83"/>
  <c r="N13" i="85"/>
  <c r="L13" i="85" s="1"/>
  <c r="J13" i="85" s="1"/>
  <c r="N16" i="85"/>
  <c r="L16" i="85" s="1"/>
  <c r="J16" i="85" s="1"/>
  <c r="G16" i="85" s="1"/>
  <c r="I14" i="87" s="1"/>
  <c r="D8" i="91"/>
  <c r="H27" i="123" l="1"/>
  <c r="I27" i="123" s="1"/>
  <c r="K27" i="123" s="1"/>
  <c r="R13" i="86"/>
  <c r="Q13" i="86" s="1"/>
  <c r="O13" i="86" s="1"/>
  <c r="M13" i="86" s="1"/>
  <c r="K13" i="86" s="1"/>
  <c r="N11" i="85"/>
  <c r="L11" i="85" s="1"/>
  <c r="J11" i="85" s="1"/>
  <c r="G11" i="85" s="1"/>
  <c r="I9" i="87" s="1"/>
  <c r="R11" i="86"/>
  <c r="R14" i="86"/>
  <c r="Q14" i="86" s="1"/>
  <c r="O14" i="86" s="1"/>
  <c r="M14" i="86" s="1"/>
  <c r="K14" i="86" s="1"/>
  <c r="N14" i="85"/>
  <c r="L14" i="85" s="1"/>
  <c r="J14" i="85" s="1"/>
  <c r="H25" i="123"/>
  <c r="I25" i="123" s="1"/>
  <c r="K25" i="123" s="1"/>
  <c r="R12" i="86"/>
  <c r="Q12" i="86" s="1"/>
  <c r="O12" i="86" s="1"/>
  <c r="M12" i="86" s="1"/>
  <c r="K12" i="86" s="1"/>
  <c r="N12" i="85"/>
  <c r="L12" i="85" s="1"/>
  <c r="J12" i="85" s="1"/>
  <c r="H29" i="123"/>
  <c r="I29" i="123" s="1"/>
  <c r="K29" i="123" s="1"/>
  <c r="R16" i="86"/>
  <c r="Q16" i="86" s="1"/>
  <c r="O16" i="86" s="1"/>
  <c r="M16" i="86" s="1"/>
  <c r="K16" i="86" s="1"/>
  <c r="E14" i="87" s="1"/>
  <c r="D14" i="87" s="1"/>
  <c r="C14" i="87" s="1"/>
  <c r="H26" i="123"/>
  <c r="I26" i="123" s="1"/>
  <c r="H28" i="123"/>
  <c r="I28" i="123" s="1"/>
  <c r="K28" i="123" s="1"/>
  <c r="Q11" i="86" l="1"/>
  <c r="J26" i="123"/>
  <c r="K26" i="123" s="1"/>
  <c r="O11" i="86" l="1"/>
  <c r="M11" i="86" s="1"/>
  <c r="C28" i="64"/>
  <c r="C26" i="64" s="1"/>
  <c r="C27" i="64"/>
  <c r="K11" i="86" l="1"/>
  <c r="E9" i="87" l="1"/>
  <c r="D9" i="87" s="1"/>
  <c r="C8" i="91" l="1"/>
  <c r="E14" i="85"/>
  <c r="E12" i="85"/>
  <c r="E11" i="85"/>
  <c r="C11" i="84" l="1"/>
  <c r="C12" i="83" s="1"/>
  <c r="C10" i="84" l="1"/>
  <c r="C11" i="83" s="1"/>
  <c r="E9" i="80" l="1"/>
  <c r="E27" i="80"/>
  <c r="C16" i="80"/>
  <c r="E30" i="80" l="1"/>
  <c r="E29" i="80"/>
  <c r="D27" i="80"/>
  <c r="D25" i="77"/>
  <c r="D14" i="77"/>
  <c r="D13" i="77"/>
  <c r="D30" i="75"/>
  <c r="D30" i="80" l="1"/>
  <c r="E28" i="80"/>
  <c r="J36" i="75"/>
  <c r="D29" i="75"/>
  <c r="C60" i="121" l="1"/>
  <c r="J33" i="75"/>
  <c r="D20" i="75"/>
  <c r="E22" i="59" l="1"/>
  <c r="M25" i="59" l="1"/>
  <c r="N12" i="59" l="1"/>
  <c r="F19" i="124"/>
  <c r="N9" i="125" l="1"/>
  <c r="M32" i="125"/>
  <c r="L32" i="125"/>
  <c r="L9" i="125" s="1"/>
  <c r="N11" i="125"/>
  <c r="A1" i="125"/>
  <c r="P18" i="124" l="1"/>
  <c r="M9" i="125"/>
  <c r="P16" i="124" l="1"/>
  <c r="S18" i="124"/>
  <c r="O18" i="124"/>
  <c r="C18" i="80"/>
  <c r="C17" i="80"/>
  <c r="C12" i="58"/>
  <c r="B12" i="58" s="1"/>
  <c r="S16" i="124" l="1"/>
  <c r="R18" i="124"/>
  <c r="J14" i="64"/>
  <c r="P16" i="77" l="1"/>
  <c r="H10" i="80" l="1"/>
  <c r="J15" i="77" l="1"/>
  <c r="F45" i="80" l="1"/>
  <c r="D45" i="80"/>
  <c r="F43" i="80"/>
  <c r="F42" i="80"/>
  <c r="F39" i="80"/>
  <c r="J19" i="77"/>
  <c r="J12" i="77"/>
  <c r="F44" i="80" l="1"/>
  <c r="F46" i="124"/>
  <c r="X46" i="124" s="1"/>
  <c r="Y46" i="124" s="1"/>
  <c r="F43" i="124"/>
  <c r="F42" i="124"/>
  <c r="F23" i="124"/>
  <c r="X23" i="124" s="1"/>
  <c r="Y23" i="124" s="1"/>
  <c r="U28" i="124"/>
  <c r="U27" i="124" s="1"/>
  <c r="O21" i="124"/>
  <c r="C14" i="124"/>
  <c r="C15" i="124"/>
  <c r="W16" i="124"/>
  <c r="F21" i="124"/>
  <c r="R21" i="124"/>
  <c r="O20" i="124"/>
  <c r="E12" i="124"/>
  <c r="E11" i="124" s="1"/>
  <c r="E10" i="124" s="1"/>
  <c r="V12" i="124"/>
  <c r="V11" i="124" s="1"/>
  <c r="V10" i="124" s="1"/>
  <c r="W12" i="124"/>
  <c r="O16" i="124" l="1"/>
  <c r="W11" i="124"/>
  <c r="W10" i="124" s="1"/>
  <c r="X42" i="124"/>
  <c r="Y42" i="124" s="1"/>
  <c r="C12" i="124"/>
  <c r="G12" i="124"/>
  <c r="G11" i="124" s="1"/>
  <c r="G10" i="124" s="1"/>
  <c r="F20" i="124"/>
  <c r="F16" i="124" l="1"/>
  <c r="C11" i="124"/>
  <c r="R20" i="124"/>
  <c r="C45" i="99"/>
  <c r="C24" i="99"/>
  <c r="D26" i="83"/>
  <c r="N14" i="123"/>
  <c r="R16" i="124" l="1"/>
  <c r="E8" i="99" l="1"/>
  <c r="C13" i="64" l="1"/>
  <c r="G14" i="85"/>
  <c r="I12" i="87" s="1"/>
  <c r="T15" i="88" l="1"/>
  <c r="P15" i="88" l="1"/>
  <c r="T12" i="88"/>
  <c r="G12" i="85" l="1"/>
  <c r="I10" i="87" l="1"/>
  <c r="O29" i="89" l="1"/>
  <c r="H10" i="84" l="1"/>
  <c r="K11" i="81" s="1"/>
  <c r="N11" i="123"/>
  <c r="H19" i="123" l="1"/>
  <c r="F18" i="59" l="1"/>
  <c r="H18" i="59"/>
  <c r="M19" i="123" l="1"/>
  <c r="F19" i="123" s="1"/>
  <c r="M20" i="123"/>
  <c r="F20" i="123" s="1"/>
  <c r="M14" i="123"/>
  <c r="N10" i="123"/>
  <c r="M10" i="123" s="1"/>
  <c r="F14" i="123" l="1"/>
  <c r="C17" i="84" l="1"/>
  <c r="C18" i="83" s="1"/>
  <c r="F15" i="85"/>
  <c r="E15" i="85" s="1"/>
  <c r="D30" i="59" l="1"/>
  <c r="C30" i="59" s="1"/>
  <c r="D28" i="59"/>
  <c r="D27" i="59"/>
  <c r="C27" i="59" s="1"/>
  <c r="D25" i="59"/>
  <c r="C25" i="59" s="1"/>
  <c r="D24" i="59"/>
  <c r="C24" i="59" s="1"/>
  <c r="D23" i="59"/>
  <c r="C23" i="59" s="1"/>
  <c r="D22" i="59"/>
  <c r="C22" i="59" s="1"/>
  <c r="D21" i="59"/>
  <c r="C21" i="59" s="1"/>
  <c r="D20" i="59"/>
  <c r="C20" i="59" s="1"/>
  <c r="D19" i="59"/>
  <c r="C19" i="59" s="1"/>
  <c r="D17" i="59"/>
  <c r="C17" i="59" s="1"/>
  <c r="D16" i="59"/>
  <c r="C16" i="59" s="1"/>
  <c r="D15" i="59"/>
  <c r="C15" i="59" s="1"/>
  <c r="D13" i="59"/>
  <c r="C13" i="59" s="1"/>
  <c r="D12" i="59"/>
  <c r="C12" i="59" s="1"/>
  <c r="I10" i="84" l="1"/>
  <c r="G9" i="123"/>
  <c r="D9" i="123"/>
  <c r="B19" i="123"/>
  <c r="B20" i="123"/>
  <c r="C15" i="88"/>
  <c r="E24" i="123" s="1"/>
  <c r="E10" i="123"/>
  <c r="C14" i="88"/>
  <c r="E23" i="123" s="1"/>
  <c r="K10" i="84" l="1"/>
  <c r="E20" i="123"/>
  <c r="C20" i="123" s="1"/>
  <c r="E19" i="123"/>
  <c r="C19" i="123" s="1"/>
  <c r="C31" i="76" l="1"/>
  <c r="D38" i="80" l="1"/>
  <c r="J38" i="80" s="1"/>
  <c r="C30" i="84" l="1"/>
  <c r="E31" i="81" l="1"/>
  <c r="C31" i="81" s="1"/>
  <c r="C31" i="83"/>
  <c r="K31" i="81"/>
  <c r="C13" i="85"/>
  <c r="C15" i="85"/>
  <c r="C14" i="85"/>
  <c r="C12" i="85"/>
  <c r="C11" i="85"/>
  <c r="I31" i="81" l="1"/>
  <c r="P31" i="81" s="1"/>
  <c r="R31" i="81"/>
  <c r="C9" i="87"/>
  <c r="J9" i="87" s="1"/>
  <c r="F18" i="85"/>
  <c r="E18" i="85" s="1"/>
  <c r="F17" i="85"/>
  <c r="E17" i="85" s="1"/>
  <c r="D24" i="80"/>
  <c r="C23" i="78"/>
  <c r="C22" i="78"/>
  <c r="X9" i="78" s="1"/>
  <c r="D20" i="77"/>
  <c r="D24" i="77"/>
  <c r="D23" i="77"/>
  <c r="M21" i="75"/>
  <c r="C30" i="76"/>
  <c r="M9" i="78" l="1"/>
  <c r="E10" i="85"/>
  <c r="G13" i="85"/>
  <c r="I11" i="87" l="1"/>
  <c r="E12" i="59"/>
  <c r="F27" i="81" l="1"/>
  <c r="F26" i="81"/>
  <c r="F25" i="81"/>
  <c r="C33" i="81"/>
  <c r="C24" i="80"/>
  <c r="D9" i="66" l="1"/>
  <c r="E12" i="66"/>
  <c r="E9" i="66" s="1"/>
  <c r="C9" i="66" l="1"/>
  <c r="I11" i="58" l="1"/>
  <c r="B11" i="58" l="1"/>
  <c r="I12" i="75" l="1"/>
  <c r="F13" i="124"/>
  <c r="X13" i="124" s="1"/>
  <c r="T12" i="124"/>
  <c r="F15" i="124" l="1"/>
  <c r="X15" i="124" s="1"/>
  <c r="C37" i="99"/>
  <c r="F53" i="124"/>
  <c r="O38" i="124"/>
  <c r="F38" i="124"/>
  <c r="O37" i="124"/>
  <c r="F37" i="124"/>
  <c r="O36" i="124"/>
  <c r="R36" i="124"/>
  <c r="O34" i="124"/>
  <c r="O31" i="124"/>
  <c r="O30" i="124"/>
  <c r="T29" i="124"/>
  <c r="T27" i="124" s="1"/>
  <c r="O28" i="124"/>
  <c r="F40" i="124" l="1"/>
  <c r="F14" i="124"/>
  <c r="X14" i="124" s="1"/>
  <c r="R34" i="124"/>
  <c r="R31" i="124"/>
  <c r="F28" i="124"/>
  <c r="F36" i="124"/>
  <c r="R38" i="124"/>
  <c r="R30" i="124"/>
  <c r="O29" i="124"/>
  <c r="F12" i="124" l="1"/>
  <c r="F27" i="124"/>
  <c r="R29" i="124"/>
  <c r="R28" i="124"/>
  <c r="F11" i="124" l="1"/>
  <c r="X4" i="124"/>
  <c r="F10" i="124"/>
  <c r="C44" i="99"/>
  <c r="C41" i="99" s="1"/>
  <c r="E17" i="123" l="1"/>
  <c r="D48" i="99" l="1"/>
  <c r="D11" i="121" l="1"/>
  <c r="C19" i="77" l="1"/>
  <c r="F14" i="77" l="1"/>
  <c r="F13" i="77"/>
  <c r="E13" i="59"/>
  <c r="H13" i="77" l="1"/>
  <c r="E10" i="87" l="1"/>
  <c r="D10" i="87" s="1"/>
  <c r="E73" i="121"/>
  <c r="E75" i="121"/>
  <c r="E74" i="121"/>
  <c r="C26" i="80"/>
  <c r="C10" i="87" l="1"/>
  <c r="J10" i="87" s="1"/>
  <c r="A4" i="79"/>
  <c r="F40" i="80"/>
  <c r="F41" i="80"/>
  <c r="F38" i="80" l="1"/>
  <c r="E25" i="80" l="1"/>
  <c r="C30" i="80" l="1"/>
  <c r="E15" i="123"/>
  <c r="X15" i="88" l="1"/>
  <c r="G15" i="88" s="1"/>
  <c r="P15" i="86" s="1"/>
  <c r="P14" i="88"/>
  <c r="Q13" i="88" l="1"/>
  <c r="P13" i="88" l="1"/>
  <c r="P12" i="88" s="1"/>
  <c r="Q12" i="88"/>
  <c r="M13" i="88"/>
  <c r="H36" i="80"/>
  <c r="H35" i="80" s="1"/>
  <c r="D36" i="80"/>
  <c r="D35" i="80" s="1"/>
  <c r="E36" i="80"/>
  <c r="E35" i="80" s="1"/>
  <c r="C37" i="80"/>
  <c r="C79" i="78" s="1"/>
  <c r="C78" i="78" s="1"/>
  <c r="Q35" i="75" s="1"/>
  <c r="C35" i="80" l="1"/>
  <c r="C36" i="80"/>
  <c r="F35" i="80" l="1"/>
  <c r="C29" i="80"/>
  <c r="D28" i="80"/>
  <c r="C27" i="80"/>
  <c r="J32" i="80"/>
  <c r="J34" i="80"/>
  <c r="D25" i="80"/>
  <c r="C23" i="80"/>
  <c r="C13" i="88" l="1"/>
  <c r="C60" i="78"/>
  <c r="C27" i="78" s="1"/>
  <c r="X27" i="78" s="1"/>
  <c r="D22" i="80"/>
  <c r="D21" i="80" s="1"/>
  <c r="D20" i="80" s="1"/>
  <c r="J28" i="78" l="1"/>
  <c r="C26" i="78"/>
  <c r="W19" i="78" s="1"/>
  <c r="E22" i="123"/>
  <c r="E21" i="123" s="1"/>
  <c r="C22" i="80"/>
  <c r="Y19" i="78" l="1"/>
  <c r="W9" i="78"/>
  <c r="P10" i="85"/>
  <c r="C31" i="84"/>
  <c r="E83" i="121" l="1"/>
  <c r="E77" i="121"/>
  <c r="D29" i="83"/>
  <c r="D30" i="83"/>
  <c r="H29" i="84" s="1"/>
  <c r="K30" i="81" s="1"/>
  <c r="D27" i="83"/>
  <c r="D25" i="83"/>
  <c r="D9" i="83" l="1"/>
  <c r="D10" i="83"/>
  <c r="I30" i="81"/>
  <c r="P30" i="81" s="1"/>
  <c r="R30" i="81"/>
  <c r="H24" i="80"/>
  <c r="C28" i="80" l="1"/>
  <c r="E20" i="59"/>
  <c r="X14" i="88" l="1"/>
  <c r="X13" i="88"/>
  <c r="X12" i="88" s="1"/>
  <c r="AA14" i="88"/>
  <c r="AA15" i="88"/>
  <c r="AA13" i="88"/>
  <c r="E18" i="123"/>
  <c r="L25" i="81"/>
  <c r="L26" i="81"/>
  <c r="L27" i="81"/>
  <c r="L24" i="81"/>
  <c r="L17" i="81"/>
  <c r="L18" i="81"/>
  <c r="L19" i="81"/>
  <c r="L21" i="81"/>
  <c r="L22" i="81"/>
  <c r="H13" i="88" l="1"/>
  <c r="N11" i="81" s="1"/>
  <c r="AA12" i="88"/>
  <c r="H30" i="80" s="1"/>
  <c r="H29" i="80"/>
  <c r="W13" i="88"/>
  <c r="W15" i="88"/>
  <c r="E12" i="81"/>
  <c r="E10" i="81" s="1"/>
  <c r="W14" i="88"/>
  <c r="D8" i="123"/>
  <c r="N24" i="123"/>
  <c r="M24" i="123" s="1"/>
  <c r="F24" i="123" s="1"/>
  <c r="C24" i="123" s="1"/>
  <c r="M23" i="123"/>
  <c r="N21" i="123"/>
  <c r="M21" i="123" s="1"/>
  <c r="N18" i="123"/>
  <c r="M18" i="123" s="1"/>
  <c r="N16" i="123"/>
  <c r="M16" i="123" s="1"/>
  <c r="N15" i="123"/>
  <c r="N13" i="123"/>
  <c r="M13" i="123" s="1"/>
  <c r="F13" i="123" s="1"/>
  <c r="N12" i="123"/>
  <c r="M11" i="123"/>
  <c r="F10" i="123"/>
  <c r="C10" i="123" s="1"/>
  <c r="A3" i="123"/>
  <c r="A1" i="123"/>
  <c r="R17" i="86" l="1"/>
  <c r="AF13" i="88"/>
  <c r="W12" i="88"/>
  <c r="F23" i="123"/>
  <c r="C23" i="123" s="1"/>
  <c r="F29" i="80"/>
  <c r="H28" i="80"/>
  <c r="F16" i="123"/>
  <c r="F18" i="123"/>
  <c r="C18" i="123" s="1"/>
  <c r="M15" i="123"/>
  <c r="F15" i="123" s="1"/>
  <c r="M12" i="123"/>
  <c r="F12" i="123" s="1"/>
  <c r="M6" i="123"/>
  <c r="F11" i="123"/>
  <c r="G8" i="123"/>
  <c r="N17" i="123"/>
  <c r="M17" i="123" s="1"/>
  <c r="F17" i="123" s="1"/>
  <c r="C17" i="123" s="1"/>
  <c r="M15" i="88"/>
  <c r="H15" i="88" s="1"/>
  <c r="N12" i="81" s="1"/>
  <c r="F20" i="81"/>
  <c r="F15" i="81"/>
  <c r="F14" i="81"/>
  <c r="F17" i="81"/>
  <c r="F18" i="81"/>
  <c r="F19" i="81"/>
  <c r="F21" i="81"/>
  <c r="F22" i="81"/>
  <c r="F24" i="81"/>
  <c r="F12" i="81"/>
  <c r="E14" i="123"/>
  <c r="C14" i="123" s="1"/>
  <c r="F13" i="81"/>
  <c r="F11" i="81" l="1"/>
  <c r="M9" i="123"/>
  <c r="F15" i="88"/>
  <c r="R15" i="86"/>
  <c r="F21" i="123"/>
  <c r="C21" i="123" s="1"/>
  <c r="C22" i="123"/>
  <c r="M15" i="85"/>
  <c r="C15" i="123"/>
  <c r="F9" i="123"/>
  <c r="J11" i="64" s="1"/>
  <c r="N9" i="123"/>
  <c r="H18" i="123"/>
  <c r="I18" i="123" s="1"/>
  <c r="K18" i="123" s="1"/>
  <c r="AE15" i="88"/>
  <c r="AE12" i="88" s="1"/>
  <c r="AF15" i="88"/>
  <c r="I15" i="88"/>
  <c r="Q15" i="86" l="1"/>
  <c r="H24" i="123"/>
  <c r="N15" i="85"/>
  <c r="L15" i="85" s="1"/>
  <c r="J15" i="85" s="1"/>
  <c r="G15" i="85" l="1"/>
  <c r="I13" i="87" s="1"/>
  <c r="O15" i="86"/>
  <c r="M15" i="86" s="1"/>
  <c r="I24" i="123"/>
  <c r="K24" i="123" s="1"/>
  <c r="AD15" i="88"/>
  <c r="K15" i="86" l="1"/>
  <c r="E13" i="123"/>
  <c r="C13" i="123" s="1"/>
  <c r="E16" i="123"/>
  <c r="C16" i="123" s="1"/>
  <c r="E13" i="87" l="1"/>
  <c r="D13" i="87" s="1"/>
  <c r="C13" i="87" s="1"/>
  <c r="J13" i="87" s="1"/>
  <c r="G24" i="80"/>
  <c r="F24" i="80" s="1"/>
  <c r="G30" i="80"/>
  <c r="F30" i="80" s="1"/>
  <c r="Q15" i="124" l="1"/>
  <c r="U15" i="124" s="1"/>
  <c r="P15" i="124"/>
  <c r="F28" i="80"/>
  <c r="G28" i="80"/>
  <c r="F16" i="81"/>
  <c r="S15" i="124" l="1"/>
  <c r="R15" i="124" s="1"/>
  <c r="O15" i="124"/>
  <c r="Y15" i="124" s="1"/>
  <c r="L28" i="80"/>
  <c r="L22" i="80"/>
  <c r="H15" i="123"/>
  <c r="D60" i="78"/>
  <c r="E60" i="78" s="1"/>
  <c r="H16" i="123"/>
  <c r="H13" i="123"/>
  <c r="H14" i="123"/>
  <c r="H10" i="123"/>
  <c r="H17" i="123"/>
  <c r="G18" i="59"/>
  <c r="H11" i="59"/>
  <c r="E30" i="59"/>
  <c r="E24" i="59"/>
  <c r="E15" i="59"/>
  <c r="J15" i="59" l="1"/>
  <c r="I15" i="123"/>
  <c r="K15" i="123" s="1"/>
  <c r="J11" i="58"/>
  <c r="D28" i="76"/>
  <c r="I10" i="123"/>
  <c r="J10" i="123" s="1"/>
  <c r="L16" i="81"/>
  <c r="I16" i="123"/>
  <c r="K16" i="123" s="1"/>
  <c r="L20" i="81"/>
  <c r="I13" i="123"/>
  <c r="K13" i="123" s="1"/>
  <c r="L14" i="81"/>
  <c r="I14" i="123"/>
  <c r="K14" i="123" s="1"/>
  <c r="I17" i="123"/>
  <c r="C20" i="76"/>
  <c r="C29" i="76"/>
  <c r="K10" i="123" l="1"/>
  <c r="L11" i="81"/>
  <c r="K17" i="123"/>
  <c r="A1" i="119" l="1"/>
  <c r="A1" i="99"/>
  <c r="A1" i="66"/>
  <c r="A1" i="65"/>
  <c r="A1" i="64"/>
  <c r="A1" i="121"/>
  <c r="A1" i="59"/>
  <c r="A1" i="63" s="1"/>
  <c r="A1" i="62" s="1"/>
  <c r="A1" i="58"/>
  <c r="A1" i="91"/>
  <c r="A1" i="90"/>
  <c r="A1" i="89"/>
  <c r="A1" i="88"/>
  <c r="A1" i="87"/>
  <c r="A1" i="85"/>
  <c r="A1" i="84"/>
  <c r="A1" i="83"/>
  <c r="A1" i="81"/>
  <c r="A1" i="82" s="1"/>
  <c r="A1" i="80"/>
  <c r="A1" i="79"/>
  <c r="A1" i="78"/>
  <c r="A1" i="77"/>
  <c r="A1" i="76"/>
  <c r="A4" i="65"/>
  <c r="A3" i="66"/>
  <c r="C11" i="76" l="1"/>
  <c r="C9" i="76" s="1"/>
  <c r="A4" i="84" l="1"/>
  <c r="A3" i="99" l="1"/>
  <c r="C46" i="99" l="1"/>
  <c r="G8" i="87" l="1"/>
  <c r="F32" i="77" l="1"/>
  <c r="A4" i="76" l="1"/>
  <c r="A4" i="58"/>
  <c r="J11" i="77" l="1"/>
  <c r="J10" i="77" s="1"/>
  <c r="J9" i="77" s="1"/>
  <c r="L7" i="77" s="1"/>
  <c r="E42" i="59"/>
  <c r="E18" i="75" l="1"/>
  <c r="F23" i="81" l="1"/>
  <c r="F7" i="119" l="1"/>
  <c r="G7" i="119"/>
  <c r="E7" i="119"/>
  <c r="C36" i="99" l="1"/>
  <c r="J14" i="87" l="1"/>
  <c r="C13" i="66" l="1"/>
  <c r="C12" i="66" s="1"/>
  <c r="C28" i="65" l="1"/>
  <c r="C15" i="66"/>
  <c r="D12" i="65"/>
  <c r="D9" i="65" s="1"/>
  <c r="D22" i="65" l="1"/>
  <c r="F32" i="80"/>
  <c r="K28" i="84"/>
  <c r="H31" i="84" l="1"/>
  <c r="I31" i="84" l="1"/>
  <c r="K31" i="84" s="1"/>
  <c r="F37" i="80" l="1"/>
  <c r="H26" i="84" l="1"/>
  <c r="K27" i="81" l="1"/>
  <c r="I27" i="81" l="1"/>
  <c r="C12" i="84" l="1"/>
  <c r="C13" i="83" s="1"/>
  <c r="C23" i="84" l="1"/>
  <c r="C24" i="83" s="1"/>
  <c r="E34" i="59"/>
  <c r="D17" i="76" s="1"/>
  <c r="E32" i="77" l="1"/>
  <c r="C26" i="84" l="1"/>
  <c r="C27" i="83" s="1"/>
  <c r="S27" i="83" s="1"/>
  <c r="E27" i="81" l="1"/>
  <c r="C27" i="81" s="1"/>
  <c r="P27" i="81" s="1"/>
  <c r="I26" i="84"/>
  <c r="K26" i="84" s="1"/>
  <c r="D16" i="77"/>
  <c r="R27" i="81" l="1"/>
  <c r="G31" i="80"/>
  <c r="D31" i="80"/>
  <c r="C32" i="80"/>
  <c r="C31" i="80" s="1"/>
  <c r="G33" i="80"/>
  <c r="D33" i="80"/>
  <c r="F34" i="80"/>
  <c r="C34" i="80"/>
  <c r="F33" i="80" l="1"/>
  <c r="J31" i="80"/>
  <c r="J33" i="80"/>
  <c r="C33" i="80"/>
  <c r="F31" i="80"/>
  <c r="E44" i="99" l="1"/>
  <c r="C35" i="99"/>
  <c r="C34" i="99"/>
  <c r="C33" i="99"/>
  <c r="C32" i="99"/>
  <c r="C31" i="99"/>
  <c r="C30" i="99"/>
  <c r="C29" i="99" l="1"/>
  <c r="C16" i="99" s="1"/>
  <c r="E41" i="99"/>
  <c r="E48" i="99" s="1"/>
  <c r="K11" i="87" s="1"/>
  <c r="H9" i="119"/>
  <c r="H8" i="119" l="1"/>
  <c r="H7" i="119" s="1"/>
  <c r="G25" i="75" l="1"/>
  <c r="Y16" i="86"/>
  <c r="Y13" i="86"/>
  <c r="Y12" i="86"/>
  <c r="Y11" i="86"/>
  <c r="Y15" i="86" l="1"/>
  <c r="D37" i="76"/>
  <c r="G36" i="80"/>
  <c r="G35" i="80" s="1"/>
  <c r="D80" i="78"/>
  <c r="E22" i="80"/>
  <c r="E21" i="80" s="1"/>
  <c r="E20" i="80" l="1"/>
  <c r="M20" i="80" s="1"/>
  <c r="C38" i="80"/>
  <c r="I38" i="80" s="1"/>
  <c r="C25" i="80"/>
  <c r="C21" i="80" s="1"/>
  <c r="F36" i="80"/>
  <c r="C21" i="79"/>
  <c r="E8" i="80" l="1"/>
  <c r="C20" i="80"/>
  <c r="J35" i="80"/>
  <c r="J31" i="78" l="1"/>
  <c r="I35" i="80"/>
  <c r="C8" i="78" l="1"/>
  <c r="H25" i="84"/>
  <c r="C25" i="84" l="1"/>
  <c r="C22" i="84"/>
  <c r="C14" i="84"/>
  <c r="C15" i="83" s="1"/>
  <c r="C15" i="84"/>
  <c r="C18" i="84"/>
  <c r="C19" i="83" s="1"/>
  <c r="E23" i="81" l="1"/>
  <c r="C23" i="83"/>
  <c r="I25" i="84"/>
  <c r="K25" i="84" s="1"/>
  <c r="C26" i="83"/>
  <c r="E16" i="81"/>
  <c r="C16" i="81" s="1"/>
  <c r="C16" i="83"/>
  <c r="C19" i="84"/>
  <c r="C20" i="83" s="1"/>
  <c r="C21" i="84" l="1"/>
  <c r="C22" i="83" s="1"/>
  <c r="E24" i="81" l="1"/>
  <c r="F52" i="121"/>
  <c r="E52" i="121" l="1"/>
  <c r="D21" i="79"/>
  <c r="D24" i="81"/>
  <c r="D10" i="81" s="1"/>
  <c r="F10" i="85" l="1"/>
  <c r="D12" i="76" l="1"/>
  <c r="F24" i="77"/>
  <c r="H24" i="77" s="1"/>
  <c r="F18" i="77"/>
  <c r="F17" i="77"/>
  <c r="F16" i="77"/>
  <c r="F10" i="59"/>
  <c r="E29" i="59"/>
  <c r="E29" i="77" s="1"/>
  <c r="D29" i="59"/>
  <c r="D26" i="59"/>
  <c r="H16" i="77" l="1"/>
  <c r="G58" i="80" l="1"/>
  <c r="C23" i="65" l="1"/>
  <c r="E33" i="59" l="1"/>
  <c r="E13" i="77" l="1"/>
  <c r="J12" i="59"/>
  <c r="K12" i="59"/>
  <c r="G13" i="77" l="1"/>
  <c r="K13" i="77"/>
  <c r="C16" i="58"/>
  <c r="H38" i="59" l="1"/>
  <c r="D13" i="76" l="1"/>
  <c r="D11" i="76" s="1"/>
  <c r="H36" i="59"/>
  <c r="H35" i="59" l="1"/>
  <c r="G26" i="80"/>
  <c r="F23" i="80"/>
  <c r="M36" i="59" l="1"/>
  <c r="D44" i="78"/>
  <c r="D43" i="78" s="1"/>
  <c r="F22" i="80"/>
  <c r="F30" i="77"/>
  <c r="H30" i="77" s="1"/>
  <c r="F28" i="77"/>
  <c r="F27" i="77"/>
  <c r="L27" i="77" s="1"/>
  <c r="L28" i="77" s="1"/>
  <c r="F26" i="77"/>
  <c r="H26" i="77" s="1"/>
  <c r="F25" i="77"/>
  <c r="H25" i="77" s="1"/>
  <c r="F23" i="77"/>
  <c r="H23" i="77" s="1"/>
  <c r="F22" i="77"/>
  <c r="F21" i="77"/>
  <c r="T14" i="77" s="1"/>
  <c r="F20" i="77"/>
  <c r="T13" i="77" s="1"/>
  <c r="G14" i="59"/>
  <c r="D30" i="78" l="1"/>
  <c r="D28" i="78" s="1"/>
  <c r="H28" i="77"/>
  <c r="U28" i="77"/>
  <c r="P15" i="77"/>
  <c r="P17" i="77" s="1"/>
  <c r="H27" i="77"/>
  <c r="H20" i="77"/>
  <c r="F19" i="77"/>
  <c r="L19" i="77" s="1"/>
  <c r="L20" i="77" s="1"/>
  <c r="H58" i="80"/>
  <c r="F58" i="80" s="1"/>
  <c r="D38" i="76"/>
  <c r="F27" i="78" l="1"/>
  <c r="E28" i="78"/>
  <c r="O28" i="78"/>
  <c r="A4" i="91" l="1"/>
  <c r="G19" i="80" l="1"/>
  <c r="D23" i="76"/>
  <c r="E25" i="77" l="1"/>
  <c r="G25" i="77" s="1"/>
  <c r="K25" i="77" l="1"/>
  <c r="C27" i="84" l="1"/>
  <c r="C28" i="83" s="1"/>
  <c r="C28" i="84"/>
  <c r="I22" i="84"/>
  <c r="K22" i="84" s="1"/>
  <c r="E29" i="81" l="1"/>
  <c r="C29" i="83"/>
  <c r="E28" i="81"/>
  <c r="S24" i="83"/>
  <c r="I23" i="84"/>
  <c r="K23" i="84" l="1"/>
  <c r="C28" i="81"/>
  <c r="K24" i="81"/>
  <c r="T11" i="86" l="1"/>
  <c r="F50" i="121" l="1"/>
  <c r="E50" i="121" l="1"/>
  <c r="D19" i="79"/>
  <c r="E12" i="123" l="1"/>
  <c r="C12" i="123" s="1"/>
  <c r="E11" i="123" l="1"/>
  <c r="H12" i="123"/>
  <c r="C11" i="123" l="1"/>
  <c r="E9" i="123"/>
  <c r="E8" i="123" s="1"/>
  <c r="I12" i="123"/>
  <c r="F8" i="87"/>
  <c r="F12" i="77"/>
  <c r="D12" i="77"/>
  <c r="C12" i="77"/>
  <c r="D21" i="77"/>
  <c r="H21" i="77" s="1"/>
  <c r="D18" i="77"/>
  <c r="H18" i="77" s="1"/>
  <c r="D17" i="77"/>
  <c r="H17" i="77" s="1"/>
  <c r="C15" i="77"/>
  <c r="H12" i="77" l="1"/>
  <c r="C9" i="123"/>
  <c r="C11" i="77"/>
  <c r="C10" i="77" s="1"/>
  <c r="L12" i="77"/>
  <c r="L13" i="77"/>
  <c r="D19" i="77"/>
  <c r="H19" i="77" s="1"/>
  <c r="L15" i="81"/>
  <c r="L23" i="81"/>
  <c r="K23" i="81" s="1"/>
  <c r="D15" i="77"/>
  <c r="F8" i="123" l="1"/>
  <c r="D11" i="77"/>
  <c r="D10" i="77" s="1"/>
  <c r="C8" i="123"/>
  <c r="K12" i="123"/>
  <c r="A3" i="119" l="1"/>
  <c r="A4" i="59"/>
  <c r="A3" i="121" l="1"/>
  <c r="A3" i="61" s="1"/>
  <c r="A4" i="88"/>
  <c r="A3" i="87"/>
  <c r="A3" i="85"/>
  <c r="A4" i="81"/>
  <c r="A4" i="82" s="1"/>
  <c r="A4" i="83" s="1"/>
  <c r="A3" i="80"/>
  <c r="A4" i="78"/>
  <c r="A4" i="77"/>
  <c r="A3" i="62" l="1"/>
  <c r="A3" i="148"/>
  <c r="A3" i="64" s="1"/>
  <c r="A4" i="89"/>
  <c r="A3" i="125"/>
  <c r="A4" i="90" l="1"/>
  <c r="A4" i="152"/>
  <c r="G64" i="121"/>
  <c r="G68" i="121"/>
  <c r="G71" i="121"/>
  <c r="H27" i="84"/>
  <c r="G62" i="121" l="1"/>
  <c r="E70" i="121"/>
  <c r="K28" i="81"/>
  <c r="R28" i="81" s="1"/>
  <c r="E9" i="64" l="1"/>
  <c r="D39" i="79"/>
  <c r="G60" i="121"/>
  <c r="H11" i="64"/>
  <c r="I12" i="64"/>
  <c r="I28" i="81"/>
  <c r="D15" i="76"/>
  <c r="D16" i="76"/>
  <c r="C9" i="64" l="1"/>
  <c r="N7" i="64" s="1"/>
  <c r="N12" i="64"/>
  <c r="P28" i="81"/>
  <c r="F17" i="58"/>
  <c r="C25" i="79"/>
  <c r="C24" i="79"/>
  <c r="C22" i="79"/>
  <c r="C19" i="79"/>
  <c r="C18" i="79"/>
  <c r="C17" i="79"/>
  <c r="C16" i="79"/>
  <c r="H19" i="80"/>
  <c r="F19" i="80" s="1"/>
  <c r="C11" i="121"/>
  <c r="C10" i="121" s="1"/>
  <c r="C17" i="58"/>
  <c r="C15" i="58" s="1"/>
  <c r="C14" i="58"/>
  <c r="C13" i="58"/>
  <c r="G10" i="121" l="1"/>
  <c r="G9" i="121" s="1"/>
  <c r="C9" i="121"/>
  <c r="C4" i="121" s="1"/>
  <c r="D36" i="76" l="1"/>
  <c r="D35" i="76" s="1"/>
  <c r="I11" i="64"/>
  <c r="C11" i="80"/>
  <c r="D14" i="76"/>
  <c r="M8" i="80" l="1"/>
  <c r="I8" i="58"/>
  <c r="I70" i="121"/>
  <c r="F15" i="77"/>
  <c r="E19" i="79"/>
  <c r="H15" i="77" l="1"/>
  <c r="F11" i="77"/>
  <c r="F10" i="77" s="1"/>
  <c r="O15" i="77"/>
  <c r="Q15" i="77" l="1"/>
  <c r="H10" i="77"/>
  <c r="H11" i="77"/>
  <c r="H14" i="59"/>
  <c r="M9" i="59" s="1"/>
  <c r="F9" i="59"/>
  <c r="M12" i="59" l="1"/>
  <c r="M13" i="59" s="1"/>
  <c r="O9" i="59"/>
  <c r="O12" i="59" s="1"/>
  <c r="H10" i="59"/>
  <c r="E17" i="59"/>
  <c r="Y19" i="59" s="1"/>
  <c r="G11" i="59"/>
  <c r="C11" i="59"/>
  <c r="D11" i="59" s="1"/>
  <c r="F10" i="76" l="1"/>
  <c r="M4" i="59"/>
  <c r="N15" i="59"/>
  <c r="N16" i="59" s="1"/>
  <c r="Q10" i="59"/>
  <c r="R10" i="59" s="1"/>
  <c r="H9" i="59"/>
  <c r="O8" i="59" s="1"/>
  <c r="J10" i="58"/>
  <c r="W13" i="59"/>
  <c r="W15" i="59" s="1"/>
  <c r="E18" i="77"/>
  <c r="G18" i="77" s="1"/>
  <c r="W20" i="59" l="1"/>
  <c r="O16" i="77"/>
  <c r="O17" i="77" s="1"/>
  <c r="P9" i="59"/>
  <c r="H44" i="59"/>
  <c r="K15" i="58"/>
  <c r="K18" i="77"/>
  <c r="F9" i="76" l="1"/>
  <c r="J9" i="75"/>
  <c r="F45" i="121" l="1"/>
  <c r="F56" i="121"/>
  <c r="E45" i="121" l="1"/>
  <c r="D25" i="79"/>
  <c r="E57" i="121"/>
  <c r="F53" i="121"/>
  <c r="E56" i="121"/>
  <c r="D16" i="79"/>
  <c r="F46" i="121"/>
  <c r="E46" i="121" s="1"/>
  <c r="F55" i="121"/>
  <c r="F49" i="121"/>
  <c r="E55" i="121" l="1"/>
  <c r="D24" i="79" s="1"/>
  <c r="D22" i="79"/>
  <c r="E53" i="121"/>
  <c r="D17" i="79"/>
  <c r="E49" i="121"/>
  <c r="D18" i="79"/>
  <c r="E25" i="79"/>
  <c r="E17" i="79" l="1"/>
  <c r="E22" i="79"/>
  <c r="D79" i="78" l="1"/>
  <c r="D78" i="78" s="1"/>
  <c r="E35" i="75" s="1"/>
  <c r="E33" i="75" l="1"/>
  <c r="G35" i="75"/>
  <c r="E65" i="121"/>
  <c r="D34" i="79" s="1"/>
  <c r="F34" i="79" s="1"/>
  <c r="I33" i="75"/>
  <c r="E72" i="121" l="1"/>
  <c r="I72" i="121" s="1"/>
  <c r="I65" i="121"/>
  <c r="G16" i="80"/>
  <c r="F16" i="80" s="1"/>
  <c r="E68" i="121"/>
  <c r="D37" i="79" s="1"/>
  <c r="E67" i="121"/>
  <c r="I67" i="121" s="1"/>
  <c r="E66" i="121"/>
  <c r="I66" i="121" s="1"/>
  <c r="E71" i="121" l="1"/>
  <c r="D40" i="79" s="1"/>
  <c r="E64" i="121"/>
  <c r="I63" i="121"/>
  <c r="I68" i="121"/>
  <c r="G33" i="75"/>
  <c r="I64" i="121" l="1"/>
  <c r="D33" i="79"/>
  <c r="F33" i="79" s="1"/>
  <c r="I71" i="121"/>
  <c r="H63" i="121"/>
  <c r="H28" i="84"/>
  <c r="K29" i="81" s="1"/>
  <c r="I27" i="84"/>
  <c r="I29" i="81" l="1"/>
  <c r="R29" i="81"/>
  <c r="K27" i="84"/>
  <c r="E62" i="121"/>
  <c r="D31" i="79" s="1"/>
  <c r="F31" i="79" s="1"/>
  <c r="E69" i="121" l="1"/>
  <c r="E31" i="79"/>
  <c r="I62" i="121"/>
  <c r="E11" i="81"/>
  <c r="K69" i="121" l="1"/>
  <c r="D38" i="79"/>
  <c r="C11" i="81"/>
  <c r="E14" i="77" l="1"/>
  <c r="J11" i="59"/>
  <c r="K11" i="59"/>
  <c r="E11" i="59"/>
  <c r="K14" i="77" l="1"/>
  <c r="E12" i="77"/>
  <c r="G12" i="77" l="1"/>
  <c r="K12" i="77"/>
  <c r="G10" i="59" l="1"/>
  <c r="F44" i="59"/>
  <c r="E16" i="59"/>
  <c r="Y18" i="59" s="1"/>
  <c r="E16" i="77"/>
  <c r="G16" i="77" s="1"/>
  <c r="E28" i="59"/>
  <c r="E28" i="77" s="1"/>
  <c r="K28" i="77" s="1"/>
  <c r="E23" i="77"/>
  <c r="G23" i="77" s="1"/>
  <c r="M30" i="77" l="1"/>
  <c r="M31" i="77" s="1"/>
  <c r="G28" i="77"/>
  <c r="E30" i="77"/>
  <c r="G30" i="77" s="1"/>
  <c r="K16" i="77"/>
  <c r="K23" i="77"/>
  <c r="E17" i="77"/>
  <c r="G17" i="77" s="1"/>
  <c r="J28" i="59"/>
  <c r="G9" i="59"/>
  <c r="G44" i="59" s="1"/>
  <c r="E19" i="59"/>
  <c r="Y17" i="59" s="1"/>
  <c r="E21" i="77"/>
  <c r="G21" i="77" s="1"/>
  <c r="E21" i="59"/>
  <c r="J30" i="59"/>
  <c r="E25" i="59"/>
  <c r="E26" i="59"/>
  <c r="E27" i="59"/>
  <c r="E27" i="77" s="1"/>
  <c r="G27" i="77" s="1"/>
  <c r="K30" i="59"/>
  <c r="K30" i="77" l="1"/>
  <c r="K27" i="77"/>
  <c r="E26" i="77"/>
  <c r="K17" i="77"/>
  <c r="E24" i="77"/>
  <c r="G24" i="77" s="1"/>
  <c r="E15" i="77"/>
  <c r="K21" i="77"/>
  <c r="E20" i="77"/>
  <c r="G20" i="77" s="1"/>
  <c r="E22" i="77"/>
  <c r="G22" i="77" s="1"/>
  <c r="K21" i="59"/>
  <c r="G15" i="77" l="1"/>
  <c r="G26" i="77"/>
  <c r="K26" i="77"/>
  <c r="K15" i="77"/>
  <c r="L15" i="77"/>
  <c r="L16" i="77"/>
  <c r="L17" i="77" s="1"/>
  <c r="K20" i="77"/>
  <c r="K24" i="77"/>
  <c r="K22" i="77"/>
  <c r="E19" i="77"/>
  <c r="G19" i="77" s="1"/>
  <c r="E11" i="77" l="1"/>
  <c r="E10" i="77" s="1"/>
  <c r="K19" i="77"/>
  <c r="E9" i="77" l="1"/>
  <c r="G11" i="77"/>
  <c r="K11" i="77"/>
  <c r="G10" i="77" l="1"/>
  <c r="H24" i="84" l="1"/>
  <c r="I17" i="84"/>
  <c r="J9" i="84" s="1"/>
  <c r="K25" i="81" l="1"/>
  <c r="I19" i="84"/>
  <c r="H11" i="84"/>
  <c r="K12" i="81" s="1"/>
  <c r="K18" i="81"/>
  <c r="I21" i="84"/>
  <c r="I11" i="84" l="1"/>
  <c r="K19" i="84"/>
  <c r="I28" i="99" s="1"/>
  <c r="I30" i="99" s="1"/>
  <c r="I25" i="81"/>
  <c r="K11" i="84"/>
  <c r="K20" i="81"/>
  <c r="K22" i="81"/>
  <c r="I22" i="81" s="1"/>
  <c r="I6" i="126" l="1"/>
  <c r="I20" i="81"/>
  <c r="T12" i="86"/>
  <c r="E12" i="76" l="1"/>
  <c r="E50" i="79" l="1"/>
  <c r="E41" i="59" l="1"/>
  <c r="C18" i="58" s="1"/>
  <c r="B18" i="58" s="1"/>
  <c r="K27" i="59" l="1"/>
  <c r="J27" i="59"/>
  <c r="K28" i="59"/>
  <c r="J21" i="59"/>
  <c r="C14" i="59"/>
  <c r="D18" i="59"/>
  <c r="C18" i="59"/>
  <c r="C10" i="59" l="1"/>
  <c r="C9" i="77"/>
  <c r="L6" i="77" s="1"/>
  <c r="J25" i="59"/>
  <c r="E18" i="59"/>
  <c r="D14" i="59"/>
  <c r="D10" i="59" s="1"/>
  <c r="Z10" i="59" s="1"/>
  <c r="K15" i="59"/>
  <c r="E14" i="59"/>
  <c r="E10" i="59" s="1"/>
  <c r="K16" i="59"/>
  <c r="J16" i="59"/>
  <c r="K23" i="59"/>
  <c r="J23" i="59"/>
  <c r="K20" i="59"/>
  <c r="J20" i="59"/>
  <c r="J19" i="59"/>
  <c r="K19" i="59"/>
  <c r="K22" i="59"/>
  <c r="J22" i="59"/>
  <c r="W19" i="59" l="1"/>
  <c r="M15" i="59"/>
  <c r="D9" i="59"/>
  <c r="C9" i="59"/>
  <c r="J18" i="59"/>
  <c r="K25" i="59"/>
  <c r="K18" i="59"/>
  <c r="K14" i="59"/>
  <c r="J14" i="59"/>
  <c r="M16" i="59" l="1"/>
  <c r="M17" i="59" s="1"/>
  <c r="N18" i="59" s="1"/>
  <c r="E9" i="59"/>
  <c r="J10" i="59"/>
  <c r="K10" i="59"/>
  <c r="Z9" i="59"/>
  <c r="C9" i="58"/>
  <c r="D10" i="76"/>
  <c r="D9" i="76" s="1"/>
  <c r="D9" i="77"/>
  <c r="K24" i="59"/>
  <c r="W10" i="59" l="1"/>
  <c r="J9" i="59"/>
  <c r="K9" i="59"/>
  <c r="C8" i="58"/>
  <c r="G10" i="76"/>
  <c r="I10" i="58"/>
  <c r="G12" i="76"/>
  <c r="K13" i="58"/>
  <c r="W12" i="59"/>
  <c r="W16" i="59"/>
  <c r="W11" i="59"/>
  <c r="O13" i="59"/>
  <c r="K16" i="58"/>
  <c r="B10" i="58"/>
  <c r="E11" i="75" s="1"/>
  <c r="L11" i="75" s="1"/>
  <c r="E10" i="76"/>
  <c r="J24" i="59"/>
  <c r="K14" i="58" l="1"/>
  <c r="I11" i="75"/>
  <c r="I13" i="75" s="1"/>
  <c r="K10" i="77"/>
  <c r="E10" i="75" l="1"/>
  <c r="F11" i="75"/>
  <c r="F27" i="75"/>
  <c r="K9" i="77" l="1"/>
  <c r="G9" i="77"/>
  <c r="F10" i="75"/>
  <c r="L8" i="77"/>
  <c r="M7" i="77"/>
  <c r="M8" i="77" s="1"/>
  <c r="L9" i="77"/>
  <c r="L11" i="77"/>
  <c r="T14" i="86"/>
  <c r="T15" i="86"/>
  <c r="T16" i="86"/>
  <c r="T17" i="86"/>
  <c r="T18" i="86"/>
  <c r="W13" i="86"/>
  <c r="W15" i="86"/>
  <c r="W16" i="86"/>
  <c r="W11" i="86"/>
  <c r="T13" i="86" l="1"/>
  <c r="E11" i="87"/>
  <c r="D11" i="87" s="1"/>
  <c r="D30" i="76" l="1"/>
  <c r="E30" i="76" s="1"/>
  <c r="D16" i="58"/>
  <c r="E37" i="59"/>
  <c r="K17" i="81"/>
  <c r="I17" i="81" s="1"/>
  <c r="I14" i="84"/>
  <c r="K14" i="84" s="1"/>
  <c r="O14" i="84" s="1"/>
  <c r="B16" i="58" l="1"/>
  <c r="E14" i="75"/>
  <c r="G14" i="75" s="1"/>
  <c r="K15" i="81"/>
  <c r="I15" i="81" s="1"/>
  <c r="D21" i="76"/>
  <c r="K16" i="81"/>
  <c r="I16" i="81" s="1"/>
  <c r="I15" i="84"/>
  <c r="K15" i="84" s="1"/>
  <c r="H29" i="99" s="1"/>
  <c r="C26" i="65"/>
  <c r="C24" i="65" s="1"/>
  <c r="C22" i="65" s="1"/>
  <c r="E21" i="76" l="1"/>
  <c r="M14" i="88"/>
  <c r="J13" i="88"/>
  <c r="G13" i="88" s="1"/>
  <c r="H14" i="88" l="1"/>
  <c r="G27" i="80"/>
  <c r="F27" i="80" s="1"/>
  <c r="W28" i="80" s="1"/>
  <c r="M12" i="88"/>
  <c r="H27" i="80" s="1"/>
  <c r="I13" i="88"/>
  <c r="D8" i="65"/>
  <c r="H12" i="84"/>
  <c r="K13" i="81" s="1"/>
  <c r="H13" i="84"/>
  <c r="H12" i="88" l="1"/>
  <c r="N13" i="81"/>
  <c r="H9" i="84"/>
  <c r="I12" i="84"/>
  <c r="K12" i="84" s="1"/>
  <c r="H14" i="80"/>
  <c r="N18" i="85"/>
  <c r="R18" i="86"/>
  <c r="R10" i="86" s="1"/>
  <c r="Q13" i="124"/>
  <c r="U13" i="124" s="1"/>
  <c r="P17" i="86"/>
  <c r="F13" i="88"/>
  <c r="G25" i="80"/>
  <c r="M17" i="85"/>
  <c r="AF14" i="88"/>
  <c r="H22" i="80"/>
  <c r="G22" i="80"/>
  <c r="N17" i="85"/>
  <c r="Q14" i="124"/>
  <c r="U14" i="124" s="1"/>
  <c r="K14" i="81"/>
  <c r="N10" i="81" l="1"/>
  <c r="E32" i="75" s="1"/>
  <c r="L13" i="81"/>
  <c r="U12" i="124"/>
  <c r="H9" i="80"/>
  <c r="Q12" i="124"/>
  <c r="Q11" i="124" s="1"/>
  <c r="Q10" i="124" s="1"/>
  <c r="R14" i="124"/>
  <c r="O14" i="124"/>
  <c r="Y14" i="124" s="1"/>
  <c r="L17" i="85"/>
  <c r="J17" i="85" s="1"/>
  <c r="Q17" i="86"/>
  <c r="O17" i="86" s="1"/>
  <c r="M17" i="86" s="1"/>
  <c r="H22" i="123"/>
  <c r="I22" i="123" s="1"/>
  <c r="J22" i="123" s="1"/>
  <c r="AG11" i="88"/>
  <c r="G21" i="80"/>
  <c r="G20" i="80" s="1"/>
  <c r="L8" i="123"/>
  <c r="F32" i="75"/>
  <c r="H11" i="123"/>
  <c r="H9" i="123" s="1"/>
  <c r="AD13" i="88"/>
  <c r="F33" i="75"/>
  <c r="E30" i="75" l="1"/>
  <c r="E29" i="75" s="1"/>
  <c r="W29" i="75" s="1"/>
  <c r="D49" i="79"/>
  <c r="I13" i="81"/>
  <c r="W11" i="81"/>
  <c r="L33" i="123"/>
  <c r="L28" i="123"/>
  <c r="U11" i="124"/>
  <c r="U10" i="124" s="1"/>
  <c r="G17" i="85"/>
  <c r="L9" i="123"/>
  <c r="I11" i="123"/>
  <c r="I69" i="121"/>
  <c r="J20" i="80"/>
  <c r="Y17" i="86"/>
  <c r="K19" i="81"/>
  <c r="C32" i="81"/>
  <c r="D47" i="79" l="1"/>
  <c r="F47" i="79" s="1"/>
  <c r="I15" i="87"/>
  <c r="K17" i="86"/>
  <c r="I9" i="123"/>
  <c r="J11" i="123"/>
  <c r="J9" i="123" s="1"/>
  <c r="L12" i="81"/>
  <c r="L10" i="81" s="1"/>
  <c r="W17" i="86"/>
  <c r="R24" i="81"/>
  <c r="C24" i="81"/>
  <c r="H8" i="87"/>
  <c r="I12" i="81" l="1"/>
  <c r="E15" i="87"/>
  <c r="K11" i="123"/>
  <c r="K9" i="123" s="1"/>
  <c r="E44" i="79"/>
  <c r="C11" i="87"/>
  <c r="J11" i="87" s="1"/>
  <c r="I23" i="81"/>
  <c r="I19" i="81"/>
  <c r="I14" i="81"/>
  <c r="I18" i="81"/>
  <c r="D15" i="87" l="1"/>
  <c r="C15" i="87" s="1"/>
  <c r="J15" i="87" s="1"/>
  <c r="D13" i="58"/>
  <c r="E43" i="59"/>
  <c r="E17" i="75" s="1"/>
  <c r="D33" i="76"/>
  <c r="F33" i="77"/>
  <c r="I11" i="81"/>
  <c r="D14" i="58"/>
  <c r="B14" i="58" s="1"/>
  <c r="F34" i="77"/>
  <c r="F19" i="75"/>
  <c r="D34" i="76"/>
  <c r="E28" i="76"/>
  <c r="T10" i="86"/>
  <c r="N10" i="85"/>
  <c r="B13" i="58" l="1"/>
  <c r="F9" i="77"/>
  <c r="L34" i="77"/>
  <c r="U11" i="86"/>
  <c r="U17" i="86"/>
  <c r="U16" i="86"/>
  <c r="U13" i="86"/>
  <c r="H9" i="77" l="1"/>
  <c r="U9" i="77"/>
  <c r="U11" i="77" s="1"/>
  <c r="M9" i="77"/>
  <c r="L35" i="77"/>
  <c r="H9" i="58"/>
  <c r="S16" i="86"/>
  <c r="S13" i="86"/>
  <c r="Q13" i="85"/>
  <c r="S11" i="86"/>
  <c r="U15" i="86"/>
  <c r="F16" i="58" l="1"/>
  <c r="S16" i="85"/>
  <c r="Q16" i="85"/>
  <c r="S13" i="85"/>
  <c r="Q14" i="85"/>
  <c r="S14" i="85"/>
  <c r="S15" i="86"/>
  <c r="C18" i="85"/>
  <c r="S17" i="86"/>
  <c r="C17" i="85"/>
  <c r="Q17" i="85" s="1"/>
  <c r="C13" i="84"/>
  <c r="C14" i="83" s="1"/>
  <c r="C16" i="84"/>
  <c r="C17" i="83" s="1"/>
  <c r="C20" i="84"/>
  <c r="S14" i="83" l="1"/>
  <c r="E21" i="81"/>
  <c r="C21" i="83"/>
  <c r="I13" i="84"/>
  <c r="E14" i="81"/>
  <c r="E22" i="81"/>
  <c r="C22" i="81" s="1"/>
  <c r="K21" i="84"/>
  <c r="S17" i="85"/>
  <c r="E20" i="81"/>
  <c r="C20" i="81" s="1"/>
  <c r="E17" i="81"/>
  <c r="I16" i="84"/>
  <c r="K16" i="84" s="1"/>
  <c r="E15" i="81"/>
  <c r="E18" i="81"/>
  <c r="K17" i="84"/>
  <c r="C27" i="76"/>
  <c r="C36" i="76" s="1"/>
  <c r="S29" i="83"/>
  <c r="E13" i="81"/>
  <c r="C24" i="84"/>
  <c r="I18" i="84"/>
  <c r="I24" i="84" l="1"/>
  <c r="K24" i="84" s="1"/>
  <c r="C25" i="83"/>
  <c r="C10" i="83" s="1"/>
  <c r="J10" i="64"/>
  <c r="C35" i="76"/>
  <c r="C10" i="85"/>
  <c r="E19" i="81"/>
  <c r="K18" i="84"/>
  <c r="E25" i="81"/>
  <c r="S17" i="83"/>
  <c r="S20" i="83"/>
  <c r="E13" i="76"/>
  <c r="S19" i="83"/>
  <c r="S16" i="83"/>
  <c r="S15" i="83"/>
  <c r="S13" i="83"/>
  <c r="S23" i="83"/>
  <c r="S18" i="83"/>
  <c r="S25" i="83" l="1"/>
  <c r="C9" i="83"/>
  <c r="K10" i="64"/>
  <c r="J12" i="64"/>
  <c r="K13" i="84"/>
  <c r="K26" i="81"/>
  <c r="R25" i="81"/>
  <c r="C25" i="81"/>
  <c r="P25" i="81" s="1"/>
  <c r="S12" i="83"/>
  <c r="H8" i="58"/>
  <c r="E11" i="76"/>
  <c r="P22" i="81"/>
  <c r="R22" i="81"/>
  <c r="C13" i="81"/>
  <c r="P13" i="81" s="1"/>
  <c r="R13" i="81"/>
  <c r="C21" i="81"/>
  <c r="C19" i="81"/>
  <c r="P19" i="81" s="1"/>
  <c r="R19" i="81"/>
  <c r="C14" i="81"/>
  <c r="R14" i="81"/>
  <c r="C15" i="81"/>
  <c r="P15" i="81" s="1"/>
  <c r="R15" i="81"/>
  <c r="C23" i="81"/>
  <c r="R23" i="81"/>
  <c r="R16" i="81"/>
  <c r="C18" i="81"/>
  <c r="P18" i="81" s="1"/>
  <c r="R18" i="81"/>
  <c r="S21" i="83"/>
  <c r="P14" i="81" l="1"/>
  <c r="E37" i="79"/>
  <c r="F37" i="79"/>
  <c r="P16" i="81"/>
  <c r="P23" i="81"/>
  <c r="I26" i="81"/>
  <c r="E47" i="121"/>
  <c r="E26" i="81"/>
  <c r="E9" i="76"/>
  <c r="S26" i="83"/>
  <c r="P20" i="81"/>
  <c r="R20" i="81"/>
  <c r="C12" i="81"/>
  <c r="P12" i="81" s="1"/>
  <c r="R12" i="81"/>
  <c r="C17" i="81"/>
  <c r="P17" i="81" s="1"/>
  <c r="R17" i="81"/>
  <c r="E33" i="79"/>
  <c r="E40" i="79"/>
  <c r="F40" i="79"/>
  <c r="E41" i="79"/>
  <c r="F41" i="79"/>
  <c r="F38" i="79"/>
  <c r="E38" i="79"/>
  <c r="C29" i="81"/>
  <c r="P29" i="81" l="1"/>
  <c r="C10" i="81"/>
  <c r="C26" i="81"/>
  <c r="P26" i="81" s="1"/>
  <c r="R26" i="81"/>
  <c r="J16" i="80"/>
  <c r="E16" i="79"/>
  <c r="E18" i="79"/>
  <c r="E36" i="76" l="1"/>
  <c r="E21" i="78"/>
  <c r="I16" i="80"/>
  <c r="E24" i="79"/>
  <c r="E101" i="74"/>
  <c r="E100" i="74"/>
  <c r="E99" i="74"/>
  <c r="E98" i="74"/>
  <c r="E97" i="74"/>
  <c r="E96" i="74"/>
  <c r="E95" i="74"/>
  <c r="E94" i="74"/>
  <c r="E93" i="74"/>
  <c r="E92" i="74"/>
  <c r="E91" i="74"/>
  <c r="E87" i="74"/>
  <c r="E86" i="74"/>
  <c r="E85" i="74"/>
  <c r="E83" i="74"/>
  <c r="E78" i="74"/>
  <c r="E77" i="74"/>
  <c r="E62" i="74"/>
  <c r="E61" i="74"/>
  <c r="E60" i="74"/>
  <c r="E59" i="74"/>
  <c r="E58" i="74"/>
  <c r="E57" i="74"/>
  <c r="E56" i="74"/>
  <c r="E55" i="74"/>
  <c r="E54" i="74"/>
  <c r="E52" i="74"/>
  <c r="E51" i="74"/>
  <c r="E50" i="74"/>
  <c r="E49" i="74"/>
  <c r="E48" i="74"/>
  <c r="E41" i="74"/>
  <c r="E38" i="74"/>
  <c r="E37" i="74"/>
  <c r="E36" i="74"/>
  <c r="E35" i="74"/>
  <c r="E34" i="74"/>
  <c r="E33" i="74"/>
  <c r="E32" i="74"/>
  <c r="E31" i="74"/>
  <c r="E30" i="74"/>
  <c r="E29" i="74"/>
  <c r="E28" i="74"/>
  <c r="E27" i="74"/>
  <c r="E26" i="74"/>
  <c r="E25" i="74"/>
  <c r="E24" i="74"/>
  <c r="E23" i="74"/>
  <c r="E22" i="74"/>
  <c r="E21" i="74"/>
  <c r="E20" i="74"/>
  <c r="E19" i="74"/>
  <c r="E18" i="74"/>
  <c r="E17" i="74"/>
  <c r="E15" i="74"/>
  <c r="E14" i="74"/>
  <c r="E13" i="74"/>
  <c r="E12" i="74"/>
  <c r="E11" i="74"/>
  <c r="E9" i="74"/>
  <c r="E8" i="74"/>
  <c r="E7" i="74"/>
  <c r="E6" i="74"/>
  <c r="G8" i="78" l="1"/>
  <c r="E35" i="76"/>
  <c r="E36" i="75" l="1"/>
  <c r="D105" i="78"/>
  <c r="D10" i="80"/>
  <c r="D51" i="79" l="1"/>
  <c r="E51" i="79" s="1"/>
  <c r="I38" i="81"/>
  <c r="D24" i="76" s="1"/>
  <c r="F36" i="75"/>
  <c r="C10" i="80"/>
  <c r="S11" i="83"/>
  <c r="R11" i="81" l="1"/>
  <c r="P11" i="81" l="1"/>
  <c r="E39" i="79" l="1"/>
  <c r="F39" i="79"/>
  <c r="C18" i="76" l="1"/>
  <c r="F15" i="76" s="1"/>
  <c r="W12" i="86" l="1"/>
  <c r="U12" i="86" l="1"/>
  <c r="S12" i="86" l="1"/>
  <c r="K14" i="80" l="1"/>
  <c r="K9" i="80" l="1"/>
  <c r="S22" i="83" l="1"/>
  <c r="V10" i="81" l="1"/>
  <c r="I20" i="84"/>
  <c r="I9" i="84" s="1"/>
  <c r="E61" i="121"/>
  <c r="D30" i="79" s="1"/>
  <c r="D29" i="79" s="1"/>
  <c r="K21" i="81"/>
  <c r="K10" i="81" s="1"/>
  <c r="R10" i="81" s="1"/>
  <c r="N29" i="79" l="1"/>
  <c r="O30" i="79"/>
  <c r="H29" i="79"/>
  <c r="AG29" i="79"/>
  <c r="Y29" i="79"/>
  <c r="E60" i="121"/>
  <c r="K20" i="84"/>
  <c r="K9" i="84" s="1"/>
  <c r="R21" i="81"/>
  <c r="I21" i="81"/>
  <c r="F19" i="78" l="1"/>
  <c r="E10" i="121"/>
  <c r="M14" i="80"/>
  <c r="G14" i="80"/>
  <c r="S29" i="79" s="1"/>
  <c r="S30" i="79" s="1"/>
  <c r="X9" i="81"/>
  <c r="H7" i="99"/>
  <c r="I7" i="99" s="1"/>
  <c r="K19" i="58"/>
  <c r="V11" i="81"/>
  <c r="F13" i="58"/>
  <c r="E32" i="79"/>
  <c r="F32" i="79"/>
  <c r="P21" i="81"/>
  <c r="H60" i="121"/>
  <c r="M15" i="80" l="1"/>
  <c r="N14" i="80"/>
  <c r="K29" i="79"/>
  <c r="J29" i="75"/>
  <c r="F14" i="80"/>
  <c r="E78" i="78" l="1"/>
  <c r="E81" i="78"/>
  <c r="Q12" i="85" l="1"/>
  <c r="Q11" i="85"/>
  <c r="Q15" i="85"/>
  <c r="S15" i="85"/>
  <c r="S12" i="85"/>
  <c r="S11" i="85"/>
  <c r="J14" i="88" l="1"/>
  <c r="J12" i="88" l="1"/>
  <c r="H26" i="80" s="1"/>
  <c r="G14" i="88"/>
  <c r="I14" i="88"/>
  <c r="I12" i="88" s="1"/>
  <c r="G12" i="88" l="1"/>
  <c r="F14" i="88"/>
  <c r="F12" i="88" s="1"/>
  <c r="F24" i="88" s="1"/>
  <c r="P18" i="86"/>
  <c r="L25" i="80"/>
  <c r="M18" i="85"/>
  <c r="L18" i="85" s="1"/>
  <c r="J18" i="85" s="1"/>
  <c r="P13" i="124"/>
  <c r="S13" i="124" l="1"/>
  <c r="X17" i="124" s="1"/>
  <c r="P12" i="124"/>
  <c r="P11" i="124" s="1"/>
  <c r="P10" i="124" s="1"/>
  <c r="O13" i="124"/>
  <c r="Q18" i="86"/>
  <c r="O18" i="86" s="1"/>
  <c r="M18" i="86" s="1"/>
  <c r="G18" i="85"/>
  <c r="J10" i="85"/>
  <c r="S10" i="85" s="1"/>
  <c r="S18" i="85"/>
  <c r="P10" i="86"/>
  <c r="H23" i="123"/>
  <c r="L21" i="80"/>
  <c r="AD14" i="88"/>
  <c r="M10" i="85"/>
  <c r="H25" i="80"/>
  <c r="H21" i="80" s="1"/>
  <c r="H20" i="80" s="1"/>
  <c r="H8" i="80" s="1"/>
  <c r="M9" i="80" s="1"/>
  <c r="F26" i="80"/>
  <c r="M28" i="80" s="1"/>
  <c r="Y13" i="124" l="1"/>
  <c r="O12" i="124"/>
  <c r="S12" i="124"/>
  <c r="R13" i="124"/>
  <c r="R12" i="124" s="1"/>
  <c r="R11" i="124" s="1"/>
  <c r="G10" i="85"/>
  <c r="I16" i="87"/>
  <c r="Q10" i="86"/>
  <c r="Y18" i="86"/>
  <c r="W18" i="86"/>
  <c r="I23" i="123"/>
  <c r="J23" i="123" s="1"/>
  <c r="H21" i="123"/>
  <c r="H8" i="123" s="1"/>
  <c r="F25" i="80"/>
  <c r="L10" i="85"/>
  <c r="S11" i="124" l="1"/>
  <c r="S10" i="124" s="1"/>
  <c r="AF10" i="124"/>
  <c r="X12" i="124"/>
  <c r="O11" i="124"/>
  <c r="L25" i="123"/>
  <c r="J21" i="123"/>
  <c r="J8" i="123" s="1"/>
  <c r="I8" i="87"/>
  <c r="G35" i="76"/>
  <c r="H35" i="76" s="1"/>
  <c r="J8" i="58"/>
  <c r="J9" i="58" s="1"/>
  <c r="F21" i="80"/>
  <c r="K18" i="86"/>
  <c r="K10" i="86" s="1"/>
  <c r="M10" i="86"/>
  <c r="U18" i="86"/>
  <c r="K21" i="123"/>
  <c r="I21" i="123"/>
  <c r="I8" i="123" s="1"/>
  <c r="F31" i="75"/>
  <c r="I31" i="75"/>
  <c r="Q18" i="85"/>
  <c r="D27" i="78" l="1"/>
  <c r="G27" i="78" s="1"/>
  <c r="E16" i="87"/>
  <c r="D16" i="87" s="1"/>
  <c r="S18" i="86"/>
  <c r="F20" i="80"/>
  <c r="K8" i="123"/>
  <c r="Q10" i="85"/>
  <c r="O27" i="78" l="1"/>
  <c r="D26" i="78"/>
  <c r="D19" i="78" s="1"/>
  <c r="E23" i="75" s="1"/>
  <c r="I29" i="75" s="1"/>
  <c r="E27" i="78"/>
  <c r="I20" i="80"/>
  <c r="K8" i="80"/>
  <c r="C10" i="99"/>
  <c r="F20" i="78" l="1"/>
  <c r="E47" i="79"/>
  <c r="D45" i="79"/>
  <c r="E26" i="78"/>
  <c r="C9" i="99"/>
  <c r="X10" i="124" s="1"/>
  <c r="C16" i="87"/>
  <c r="J16" i="87" s="1"/>
  <c r="D8" i="87"/>
  <c r="C48" i="99"/>
  <c r="F30" i="75"/>
  <c r="P19" i="78" l="1"/>
  <c r="G19" i="78"/>
  <c r="L19" i="78"/>
  <c r="AA29" i="79"/>
  <c r="AB29" i="79" s="1"/>
  <c r="D11" i="79"/>
  <c r="E19" i="78"/>
  <c r="M6" i="59"/>
  <c r="N6" i="59" s="1"/>
  <c r="Q9" i="87"/>
  <c r="R8" i="87"/>
  <c r="N37" i="99"/>
  <c r="G29" i="75"/>
  <c r="F29" i="75"/>
  <c r="J23" i="75" l="1"/>
  <c r="P22" i="75"/>
  <c r="P24" i="75"/>
  <c r="P23" i="75"/>
  <c r="L29" i="75"/>
  <c r="O21" i="75"/>
  <c r="G23" i="75"/>
  <c r="F23" i="75"/>
  <c r="O32" i="124"/>
  <c r="R32" i="124"/>
  <c r="R35" i="124"/>
  <c r="O35" i="124"/>
  <c r="R27" i="124" l="1"/>
  <c r="R10" i="124" s="1"/>
  <c r="O27" i="124"/>
  <c r="O10" i="124" s="1"/>
  <c r="AG8" i="88"/>
  <c r="Y14" i="86"/>
  <c r="Y10" i="86"/>
  <c r="O10" i="86"/>
  <c r="W10" i="86" s="1"/>
  <c r="U10" i="86" l="1"/>
  <c r="M40" i="59"/>
  <c r="W14" i="86"/>
  <c r="U14" i="86"/>
  <c r="S14" i="86" l="1"/>
  <c r="E12" i="87"/>
  <c r="I38" i="59"/>
  <c r="Y38" i="59" s="1"/>
  <c r="D31" i="76"/>
  <c r="D17" i="58"/>
  <c r="E15" i="75" s="1"/>
  <c r="E39" i="59"/>
  <c r="G15" i="75" l="1"/>
  <c r="E13" i="75"/>
  <c r="D15" i="58"/>
  <c r="D9" i="58" s="1"/>
  <c r="B17" i="58"/>
  <c r="S10" i="86"/>
  <c r="E31" i="76"/>
  <c r="D29" i="76"/>
  <c r="G9" i="76" s="1"/>
  <c r="E38" i="59"/>
  <c r="I36" i="59"/>
  <c r="D22" i="76"/>
  <c r="D20" i="76" s="1"/>
  <c r="F12" i="76" s="1"/>
  <c r="C12" i="87"/>
  <c r="E8" i="87"/>
  <c r="E9" i="75" l="1"/>
  <c r="G13" i="75"/>
  <c r="Y36" i="59"/>
  <c r="E36" i="59"/>
  <c r="E44" i="59" s="1"/>
  <c r="B15" i="58"/>
  <c r="G16" i="76"/>
  <c r="G11" i="76"/>
  <c r="C8" i="87"/>
  <c r="F27" i="76" s="1"/>
  <c r="J12" i="87"/>
  <c r="J8" i="87" s="1"/>
  <c r="I19" i="58" s="1"/>
  <c r="E22" i="76"/>
  <c r="I35" i="59"/>
  <c r="I44" i="59" s="1"/>
  <c r="E29" i="76"/>
  <c r="D27" i="76"/>
  <c r="D40" i="76" s="1"/>
  <c r="M9" i="75" l="1"/>
  <c r="M11" i="75"/>
  <c r="F9" i="75"/>
  <c r="G9" i="75"/>
  <c r="I10" i="75"/>
  <c r="Y35" i="59"/>
  <c r="J10" i="75"/>
  <c r="J11" i="75" s="1"/>
  <c r="J12" i="75" s="1"/>
  <c r="Y44" i="59"/>
  <c r="F40" i="76"/>
  <c r="G40" i="76" s="1"/>
  <c r="G27" i="76"/>
  <c r="B9" i="58"/>
  <c r="D8" i="58"/>
  <c r="H19" i="58" s="1"/>
  <c r="E20" i="76"/>
  <c r="E27" i="76"/>
  <c r="K8" i="87" l="1"/>
  <c r="K9" i="87" s="1"/>
  <c r="I20" i="58"/>
  <c r="B8" i="58"/>
  <c r="D10" i="79"/>
  <c r="D9" i="79" s="1"/>
  <c r="E10" i="79" l="1"/>
  <c r="F15" i="58"/>
  <c r="O10" i="89" l="1"/>
  <c r="E54" i="121" l="1"/>
  <c r="E44" i="121" s="1"/>
  <c r="J24" i="81"/>
  <c r="J10" i="81" s="1"/>
  <c r="Q10" i="81" s="1"/>
  <c r="F10" i="78" l="1"/>
  <c r="G11" i="80"/>
  <c r="I24" i="81"/>
  <c r="I10" i="81" s="1"/>
  <c r="P10" i="81" s="1"/>
  <c r="W9" i="81"/>
  <c r="I44" i="121"/>
  <c r="H44" i="121"/>
  <c r="F10" i="121"/>
  <c r="F9" i="121" l="1"/>
  <c r="F9" i="78"/>
  <c r="E9" i="121"/>
  <c r="G9" i="58"/>
  <c r="F9" i="58" s="1"/>
  <c r="I11" i="121"/>
  <c r="F11" i="80"/>
  <c r="G10" i="80"/>
  <c r="J11" i="80"/>
  <c r="E13" i="79"/>
  <c r="P24" i="81"/>
  <c r="L8" i="80" l="1"/>
  <c r="H9" i="121"/>
  <c r="D19" i="76"/>
  <c r="D18" i="76" s="1"/>
  <c r="D25" i="76" s="1"/>
  <c r="R10" i="79"/>
  <c r="L9" i="80"/>
  <c r="G9" i="80"/>
  <c r="G8" i="80" s="1"/>
  <c r="K8" i="58"/>
  <c r="K7" i="58" s="1"/>
  <c r="W10" i="81"/>
  <c r="X10" i="81" s="1"/>
  <c r="G8" i="58"/>
  <c r="I11" i="80"/>
  <c r="E12" i="79"/>
  <c r="F12" i="79"/>
  <c r="H10" i="121"/>
  <c r="F10" i="80"/>
  <c r="F9" i="80" s="1"/>
  <c r="J10" i="80"/>
  <c r="F10" i="58"/>
  <c r="L10" i="80" l="1"/>
  <c r="G19" i="58"/>
  <c r="F19" i="58" s="1"/>
  <c r="F8" i="58"/>
  <c r="K9" i="58"/>
  <c r="L9" i="58" s="1"/>
  <c r="L8" i="58"/>
  <c r="G25" i="76"/>
  <c r="I10" i="80"/>
  <c r="F18" i="76"/>
  <c r="G18" i="76" s="1"/>
  <c r="D9" i="78"/>
  <c r="D8" i="78" l="1"/>
  <c r="J11" i="78"/>
  <c r="E22" i="75"/>
  <c r="J21" i="58"/>
  <c r="J23" i="58" s="1"/>
  <c r="J26" i="58" s="1"/>
  <c r="K20" i="58"/>
  <c r="K22" i="58" s="1"/>
  <c r="K10" i="58"/>
  <c r="I37" i="75"/>
  <c r="G10" i="78"/>
  <c r="E19" i="76"/>
  <c r="E10" i="78"/>
  <c r="F8" i="80"/>
  <c r="E21" i="75" l="1"/>
  <c r="E20" i="75" s="1"/>
  <c r="L21" i="75" s="1"/>
  <c r="L22" i="75" s="1"/>
  <c r="L23" i="75" s="1"/>
  <c r="O22" i="75"/>
  <c r="K7" i="78"/>
  <c r="O8" i="78"/>
  <c r="M10" i="80"/>
  <c r="L11" i="80"/>
  <c r="G9" i="78"/>
  <c r="G22" i="75"/>
  <c r="I24" i="75"/>
  <c r="F22" i="75"/>
  <c r="F21" i="75" s="1"/>
  <c r="E18" i="76"/>
  <c r="G26" i="76"/>
  <c r="E9" i="78"/>
  <c r="F25" i="76"/>
  <c r="F26" i="76" s="1"/>
  <c r="E37" i="75" l="1"/>
  <c r="J37" i="75" s="1"/>
  <c r="K8" i="78"/>
  <c r="K9" i="78"/>
  <c r="F33" i="76"/>
  <c r="E8" i="78"/>
  <c r="F20" i="75"/>
  <c r="G21" i="75"/>
  <c r="G20" i="75" l="1"/>
  <c r="F37" i="75" l="1"/>
  <c r="E5" i="126" l="1"/>
  <c r="C28" i="124"/>
  <c r="C45" i="124"/>
  <c r="C37" i="124"/>
  <c r="C32" i="124"/>
  <c r="C34" i="124"/>
  <c r="X34" i="124" s="1"/>
  <c r="Y34" i="124" s="1"/>
  <c r="C36" i="124"/>
  <c r="C35" i="124"/>
  <c r="C31" i="124"/>
  <c r="C30" i="124"/>
  <c r="C29" i="124"/>
  <c r="T16" i="124"/>
  <c r="T11" i="124" l="1"/>
  <c r="T10" i="124" s="1"/>
  <c r="C40" i="124"/>
  <c r="C27" i="124"/>
  <c r="Y9" i="124" l="1"/>
  <c r="Y10" i="124"/>
  <c r="C10" i="124"/>
  <c r="U11" i="83"/>
  <c r="C29" i="79"/>
  <c r="F30" i="79"/>
  <c r="E30" i="79"/>
  <c r="D61" i="121"/>
  <c r="D60" i="121" s="1"/>
  <c r="I60" i="121" l="1"/>
  <c r="D76" i="121"/>
  <c r="D10" i="121" s="1"/>
  <c r="I61" i="121"/>
  <c r="F29" i="79"/>
  <c r="R30" i="79"/>
  <c r="C46" i="79" s="1"/>
  <c r="E29" i="79"/>
  <c r="D14" i="80"/>
  <c r="R29" i="79" l="1"/>
  <c r="E46" i="79"/>
  <c r="E45" i="79" s="1"/>
  <c r="C45" i="79"/>
  <c r="C11" i="79" s="1"/>
  <c r="C9" i="79" s="1"/>
  <c r="I10" i="121"/>
  <c r="D9" i="121"/>
  <c r="I9" i="121" s="1"/>
  <c r="J14" i="80"/>
  <c r="C14" i="80"/>
  <c r="D9" i="80"/>
  <c r="I14" i="80" l="1"/>
  <c r="C9" i="80"/>
  <c r="J9" i="80"/>
  <c r="D8" i="80"/>
  <c r="J8" i="80" s="1"/>
  <c r="E11" i="79" l="1"/>
  <c r="F11" i="79"/>
  <c r="I9" i="80"/>
  <c r="C8" i="80"/>
  <c r="I8" i="80" s="1"/>
  <c r="E9" i="79" l="1"/>
  <c r="F9" i="79"/>
  <c r="AC159" i="149" l="1"/>
  <c r="AC4" i="149" s="1"/>
  <c r="AF161" i="149"/>
  <c r="AD4" i="149" s="1"/>
  <c r="AF159" i="149" l="1"/>
  <c r="C8" i="66"/>
  <c r="E12" i="65" s="1"/>
  <c r="E9" i="65" s="1"/>
  <c r="H8" i="66"/>
  <c r="E8" i="65" l="1"/>
  <c r="C8" i="65" s="1"/>
  <c r="C9" i="65"/>
  <c r="C13" i="65"/>
  <c r="C12" i="65" s="1"/>
  <c r="AF12" i="88"/>
  <c r="E19" i="88"/>
  <c r="AD12" i="88"/>
  <c r="E16" i="88"/>
  <c r="L9" i="13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author>
    <author>Administrator</author>
  </authors>
  <commentList>
    <comment ref="C9" authorId="0" shapeId="0" xr:uid="{758BFC7C-45B1-46A9-8BB9-D0513722BC84}">
      <text>
        <r>
          <rPr>
            <b/>
            <sz val="9"/>
            <color indexed="81"/>
            <rFont val="Tahoma"/>
            <family val="2"/>
          </rPr>
          <t>PC:</t>
        </r>
        <r>
          <rPr>
            <sz val="9"/>
            <color indexed="81"/>
            <rFont val="Tahoma"/>
            <family val="2"/>
          </rPr>
          <t xml:space="preserve">
</t>
        </r>
      </text>
    </comment>
    <comment ref="C85" authorId="1" shapeId="0" xr:uid="{7C62EB6A-9A87-44D6-BEC6-C557F900E90D}">
      <text>
        <r>
          <rPr>
            <b/>
            <sz val="9"/>
            <color indexed="81"/>
            <rFont val="Tahoma"/>
            <family val="2"/>
          </rPr>
          <t>Administrator:</t>
        </r>
        <r>
          <rPr>
            <sz val="9"/>
            <color indexed="81"/>
            <rFont val="Tahoma"/>
            <family val="2"/>
          </rPr>
          <t xml:space="preserve">
đợt 01/7/2025</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OS</author>
  </authors>
  <commentList>
    <comment ref="D24" authorId="0" shapeId="0" xr:uid="{00000000-0006-0000-1D00-000001000000}">
      <text>
        <r>
          <rPr>
            <b/>
            <sz val="9"/>
            <color indexed="81"/>
            <rFont val="Tahoma"/>
            <family val="2"/>
          </rPr>
          <t>OS:</t>
        </r>
        <r>
          <rPr>
            <sz val="9"/>
            <color indexed="81"/>
            <rFont val="Tahoma"/>
            <family val="2"/>
          </rPr>
          <t xml:space="preserve">
BDA 141,743tr; CI 38,29</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B67" authorId="0" shapeId="0" xr:uid="{1DCF1239-0018-4CCB-A39C-A5E6978A55FB}">
      <text>
        <r>
          <rPr>
            <b/>
            <sz val="9"/>
            <color indexed="81"/>
            <rFont val="Tahoma"/>
            <family val="2"/>
          </rPr>
          <t>PC:</t>
        </r>
        <r>
          <rPr>
            <sz val="9"/>
            <color indexed="81"/>
            <rFont val="Tahoma"/>
            <family val="2"/>
          </rPr>
          <t xml:space="preserve">
từ nguồn thu sử dụng đất 2025</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B31" authorId="0" shapeId="0" xr:uid="{F44180A8-0607-4D46-A125-2A3B4EE88132}">
      <text>
        <r>
          <rPr>
            <b/>
            <sz val="9"/>
            <color indexed="81"/>
            <rFont val="Tahoma"/>
            <family val="2"/>
          </rPr>
          <t>PC:</t>
        </r>
        <r>
          <rPr>
            <sz val="9"/>
            <color indexed="81"/>
            <rFont val="Tahoma"/>
            <family val="2"/>
          </rPr>
          <t xml:space="preserve">
200tr</t>
        </r>
      </text>
    </comment>
    <comment ref="E44" authorId="0" shapeId="0" xr:uid="{14508E47-540A-407B-9B7A-9DB060E8AF49}">
      <text>
        <r>
          <rPr>
            <b/>
            <sz val="9"/>
            <color indexed="81"/>
            <rFont val="Tahoma"/>
            <family val="2"/>
          </rPr>
          <t>PC:</t>
        </r>
        <r>
          <rPr>
            <sz val="9"/>
            <color indexed="81"/>
            <rFont val="Tahoma"/>
            <family val="2"/>
          </rPr>
          <t xml:space="preserve">
413.374.188đ-35.850.000đ (chưa bao gồm kết dư 6.014.188đ)</t>
        </r>
      </text>
    </comment>
    <comment ref="E57" authorId="0" shapeId="0" xr:uid="{F854CAB7-2A15-4740-90BA-594BF985354F}">
      <text>
        <r>
          <rPr>
            <b/>
            <sz val="9"/>
            <color indexed="81"/>
            <rFont val="Tahoma"/>
            <family val="2"/>
          </rPr>
          <t>PC:</t>
        </r>
        <r>
          <rPr>
            <sz val="9"/>
            <color indexed="81"/>
            <rFont val="Tahoma"/>
            <family val="2"/>
          </rPr>
          <t xml:space="preserve">
VP: 9nđ, phòng VHXH: 125,6874trđ</t>
        </r>
      </text>
    </comment>
    <comment ref="E58" authorId="0" shapeId="0" xr:uid="{108628D7-869D-4376-823A-EBB7763F0D55}">
      <text>
        <r>
          <rPr>
            <b/>
            <sz val="9"/>
            <color indexed="81"/>
            <rFont val="Tahoma"/>
            <family val="2"/>
          </rPr>
          <t>PC:</t>
        </r>
        <r>
          <rPr>
            <sz val="9"/>
            <color indexed="81"/>
            <rFont val="Tahoma"/>
            <family val="2"/>
          </rPr>
          <t xml:space="preserve">
THSC </t>
        </r>
      </text>
    </comment>
    <comment ref="E59" authorId="0" shapeId="0" xr:uid="{AC0E9B23-6CCF-4B47-B388-5C1046541471}">
      <text>
        <r>
          <rPr>
            <b/>
            <sz val="9"/>
            <color indexed="81"/>
            <rFont val="Tahoma"/>
            <family val="2"/>
          </rPr>
          <t>PC:</t>
        </r>
        <r>
          <rPr>
            <sz val="9"/>
            <color indexed="81"/>
            <rFont val="Tahoma"/>
            <family val="2"/>
          </rPr>
          <t xml:space="preserve">
TH&amp;THCS NT, bậc TH: 3.676,8nđ, bậc THCS: 5.334,2</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Administrator</author>
    <author>PC</author>
  </authors>
  <commentList>
    <comment ref="C10" authorId="0" shapeId="0" xr:uid="{94A325F3-B317-42DC-92A5-902F0DF785C7}">
      <text>
        <r>
          <rPr>
            <b/>
            <sz val="9"/>
            <color indexed="81"/>
            <rFont val="Tahoma"/>
            <family val="2"/>
          </rPr>
          <t>Administrator:</t>
        </r>
        <r>
          <rPr>
            <sz val="9"/>
            <color indexed="81"/>
            <rFont val="Tahoma"/>
            <family val="2"/>
          </rPr>
          <t xml:space="preserve">
đợt 01/7/2025</t>
        </r>
      </text>
    </comment>
    <comment ref="C13" authorId="0" shapeId="0" xr:uid="{FF6516CD-CF88-4298-BAD4-01570B375388}">
      <text>
        <r>
          <rPr>
            <b/>
            <sz val="9"/>
            <color indexed="81"/>
            <rFont val="Tahoma"/>
            <family val="2"/>
          </rPr>
          <t>Administrator:</t>
        </r>
        <r>
          <rPr>
            <sz val="9"/>
            <color indexed="81"/>
            <rFont val="Tahoma"/>
            <family val="2"/>
          </rPr>
          <t xml:space="preserve">
đợt 01/7/2025</t>
        </r>
      </text>
    </comment>
    <comment ref="C14" authorId="0" shapeId="0" xr:uid="{EFD70DE5-CD2A-47D3-A0B9-9C9F84E17BDE}">
      <text>
        <r>
          <rPr>
            <b/>
            <sz val="9"/>
            <color indexed="81"/>
            <rFont val="Tahoma"/>
            <family val="2"/>
          </rPr>
          <t>Administrator:</t>
        </r>
        <r>
          <rPr>
            <sz val="9"/>
            <color indexed="81"/>
            <rFont val="Tahoma"/>
            <family val="2"/>
          </rPr>
          <t xml:space="preserve">
đợt 01/9/2025</t>
        </r>
      </text>
    </comment>
    <comment ref="E26" authorId="1" shapeId="0" xr:uid="{1325D37F-14E4-4A76-A39D-DBE554B9D0B3}">
      <text>
        <r>
          <rPr>
            <b/>
            <sz val="9"/>
            <color indexed="81"/>
            <rFont val="Tahoma"/>
            <family val="2"/>
          </rPr>
          <t>PC:</t>
        </r>
        <r>
          <rPr>
            <sz val="9"/>
            <color indexed="81"/>
            <rFont val="Tahoma"/>
            <family val="2"/>
          </rPr>
          <t xml:space="preserve">
chi đảm bảo xã hội:567,28 trđ</t>
        </r>
      </text>
    </comment>
    <comment ref="C42" authorId="1" shapeId="0" xr:uid="{4E9C8018-868C-4ABD-BDFF-33570A947DEF}">
      <text>
        <r>
          <rPr>
            <b/>
            <sz val="9"/>
            <color indexed="81"/>
            <rFont val="Tahoma"/>
            <family val="2"/>
          </rPr>
          <t>PC:</t>
        </r>
        <r>
          <rPr>
            <sz val="9"/>
            <color indexed="81"/>
            <rFont val="Tahoma"/>
            <family val="2"/>
          </rPr>
          <t xml:space="preserve">
kết dư 2024: 6.014.188đ</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Administrator</author>
    <author>PC</author>
  </authors>
  <commentList>
    <comment ref="R155" authorId="0" shapeId="0" xr:uid="{A8A39CB3-974C-4A10-BFF7-6CE519316E53}">
      <text>
        <r>
          <rPr>
            <b/>
            <sz val="9"/>
            <color indexed="81"/>
            <rFont val="Tahoma"/>
            <family val="2"/>
          </rPr>
          <t>Administrator:</t>
        </r>
        <r>
          <rPr>
            <sz val="9"/>
            <color indexed="81"/>
            <rFont val="Tahoma"/>
            <family val="2"/>
          </rPr>
          <t xml:space="preserve">
đợt 01/7/2025</t>
        </r>
      </text>
    </comment>
    <comment ref="R158" authorId="0" shapeId="0" xr:uid="{873D2DEF-2601-4299-A643-A4989416FEC7}">
      <text>
        <r>
          <rPr>
            <b/>
            <sz val="9"/>
            <color indexed="81"/>
            <rFont val="Tahoma"/>
            <family val="2"/>
          </rPr>
          <t>Administrator:</t>
        </r>
        <r>
          <rPr>
            <sz val="9"/>
            <color indexed="81"/>
            <rFont val="Tahoma"/>
            <family val="2"/>
          </rPr>
          <t xml:space="preserve">
đợt 01/7/2025</t>
        </r>
      </text>
    </comment>
    <comment ref="R159" authorId="0" shapeId="0" xr:uid="{BCF7C06B-D1F0-464B-A06B-66D340DC6490}">
      <text>
        <r>
          <rPr>
            <b/>
            <sz val="9"/>
            <color indexed="81"/>
            <rFont val="Tahoma"/>
            <family val="2"/>
          </rPr>
          <t>Administrator:</t>
        </r>
        <r>
          <rPr>
            <sz val="9"/>
            <color indexed="81"/>
            <rFont val="Tahoma"/>
            <family val="2"/>
          </rPr>
          <t xml:space="preserve">
đợt 01/9/2025</t>
        </r>
      </text>
    </comment>
    <comment ref="R171" authorId="1" shapeId="0" xr:uid="{1192E09D-A281-4DBB-944D-7365A7AEA9C7}">
      <text>
        <r>
          <rPr>
            <b/>
            <sz val="9"/>
            <color indexed="81"/>
            <rFont val="Tahoma"/>
            <family val="2"/>
          </rPr>
          <t>PC:</t>
        </r>
        <r>
          <rPr>
            <sz val="9"/>
            <color indexed="81"/>
            <rFont val="Tahoma"/>
            <family val="2"/>
          </rPr>
          <t xml:space="preserve">
8.104trđ</t>
        </r>
      </text>
    </comment>
    <comment ref="AC171" authorId="1" shapeId="0" xr:uid="{DEC663CD-B704-463F-AE57-5FFB50C5EEAB}">
      <text>
        <r>
          <rPr>
            <b/>
            <sz val="9"/>
            <color indexed="81"/>
            <rFont val="Tahoma"/>
            <family val="2"/>
          </rPr>
          <t>PC:</t>
        </r>
        <r>
          <rPr>
            <sz val="9"/>
            <color indexed="81"/>
            <rFont val="Tahoma"/>
            <family val="2"/>
          </rPr>
          <t xml:space="preserve">
8.104trđ</t>
        </r>
      </text>
    </comment>
    <comment ref="R172" authorId="1" shapeId="0" xr:uid="{F4029EB4-2695-4F17-BAE7-7DAF24DE3F01}">
      <text>
        <r>
          <rPr>
            <b/>
            <sz val="9"/>
            <color indexed="81"/>
            <rFont val="Tahoma"/>
            <family val="2"/>
          </rPr>
          <t>PC:</t>
        </r>
        <r>
          <rPr>
            <sz val="9"/>
            <color indexed="81"/>
            <rFont val="Tahoma"/>
            <family val="2"/>
          </rPr>
          <t xml:space="preserve">
1.822trđ</t>
        </r>
      </text>
    </comment>
    <comment ref="AC172" authorId="1" shapeId="0" xr:uid="{DB224454-2772-4198-BC3E-97CC882FBA57}">
      <text>
        <r>
          <rPr>
            <b/>
            <sz val="9"/>
            <color indexed="81"/>
            <rFont val="Tahoma"/>
            <family val="2"/>
          </rPr>
          <t>PC:</t>
        </r>
        <r>
          <rPr>
            <sz val="9"/>
            <color indexed="81"/>
            <rFont val="Tahoma"/>
            <family val="2"/>
          </rPr>
          <t xml:space="preserve">
1.374,397trđ</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PC</author>
    <author>Administrator</author>
  </authors>
  <commentList>
    <comment ref="B135" authorId="0" shapeId="0" xr:uid="{80D16191-2CFF-45C3-A083-5046DCE7F76A}">
      <text>
        <r>
          <rPr>
            <b/>
            <sz val="9"/>
            <color indexed="81"/>
            <rFont val="Tahoma"/>
            <family val="2"/>
          </rPr>
          <t>PC:</t>
        </r>
        <r>
          <rPr>
            <sz val="9"/>
            <color indexed="81"/>
            <rFont val="Tahoma"/>
            <family val="2"/>
          </rPr>
          <t xml:space="preserve">
K phaan bổ, đã giảm nguồn điều hành phường 496trđ</t>
        </r>
      </text>
    </comment>
    <comment ref="R141" authorId="1" shapeId="0" xr:uid="{8FFA0939-4C28-470C-A431-E512EB3ADAEF}">
      <text>
        <r>
          <rPr>
            <b/>
            <sz val="9"/>
            <color indexed="81"/>
            <rFont val="Tahoma"/>
            <family val="2"/>
          </rPr>
          <t>Administrator:</t>
        </r>
        <r>
          <rPr>
            <sz val="9"/>
            <color indexed="81"/>
            <rFont val="Tahoma"/>
            <family val="2"/>
          </rPr>
          <t xml:space="preserve">
đợt 01/7/2025</t>
        </r>
      </text>
    </comment>
    <comment ref="R144" authorId="1" shapeId="0" xr:uid="{BF00EF47-B573-4CC8-B499-0F9B748E36A2}">
      <text>
        <r>
          <rPr>
            <b/>
            <sz val="9"/>
            <color indexed="81"/>
            <rFont val="Tahoma"/>
            <family val="2"/>
          </rPr>
          <t>Administrator:</t>
        </r>
        <r>
          <rPr>
            <sz val="9"/>
            <color indexed="81"/>
            <rFont val="Tahoma"/>
            <family val="2"/>
          </rPr>
          <t xml:space="preserve">
đợt 01/7/2025</t>
        </r>
      </text>
    </comment>
    <comment ref="R145" authorId="1" shapeId="0" xr:uid="{F9FC8C19-B9F0-4992-8359-3975B43B49E4}">
      <text>
        <r>
          <rPr>
            <b/>
            <sz val="9"/>
            <color indexed="81"/>
            <rFont val="Tahoma"/>
            <family val="2"/>
          </rPr>
          <t>Administrator:</t>
        </r>
        <r>
          <rPr>
            <sz val="9"/>
            <color indexed="81"/>
            <rFont val="Tahoma"/>
            <family val="2"/>
          </rPr>
          <t xml:space="preserve">
đợt 01/9/2025</t>
        </r>
      </text>
    </comment>
    <comment ref="O159" authorId="0" shapeId="0" xr:uid="{CFB428C6-AB77-4BA7-AA3F-AB026C9E7BA5}">
      <text>
        <r>
          <rPr>
            <b/>
            <sz val="9"/>
            <color indexed="81"/>
            <rFont val="Tahoma"/>
            <family val="2"/>
          </rPr>
          <t>PC:</t>
        </r>
        <r>
          <rPr>
            <sz val="9"/>
            <color indexed="81"/>
            <rFont val="Tahoma"/>
            <family val="2"/>
          </rPr>
          <t xml:space="preserve">
396,729nđ số cấp đầu năm</t>
        </r>
      </text>
    </comment>
    <comment ref="O167" authorId="0" shapeId="0" xr:uid="{D0AF42E4-656C-428A-AADD-98E3B0F9EE01}">
      <text>
        <r>
          <rPr>
            <b/>
            <sz val="9"/>
            <color indexed="81"/>
            <rFont val="Tahoma"/>
            <family val="2"/>
          </rPr>
          <t>PC:</t>
        </r>
        <r>
          <rPr>
            <sz val="9"/>
            <color indexed="81"/>
            <rFont val="Tahoma"/>
            <family val="2"/>
          </rPr>
          <t xml:space="preserve">
1.082,82 nđ số cấp đầu năm</t>
        </r>
      </text>
    </comment>
    <comment ref="AC167" authorId="0" shapeId="0" xr:uid="{4C675598-73F8-4548-8A9D-3A4C053B7C15}">
      <text>
        <r>
          <rPr>
            <b/>
            <sz val="9"/>
            <color indexed="81"/>
            <rFont val="Tahoma"/>
            <family val="2"/>
          </rPr>
          <t>PC:</t>
        </r>
        <r>
          <rPr>
            <sz val="9"/>
            <color indexed="81"/>
            <rFont val="Tahoma"/>
            <family val="2"/>
          </rPr>
          <t xml:space="preserve">
chưa bao gồm số cấp đầu năm 1082,820nđ</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K16" authorId="0" shapeId="0" xr:uid="{25B49609-A183-4108-9D93-2AFC86996095}">
      <text>
        <r>
          <rPr>
            <b/>
            <sz val="9"/>
            <color indexed="81"/>
            <rFont val="Tahoma"/>
            <family val="2"/>
          </rPr>
          <t>PC:</t>
        </r>
        <r>
          <rPr>
            <sz val="9"/>
            <color indexed="81"/>
            <rFont val="Tahoma"/>
            <family val="2"/>
          </rPr>
          <t xml:space="preserve">
Chuyển nguồn</t>
        </r>
      </text>
    </comment>
    <comment ref="L19" authorId="0" shapeId="0" xr:uid="{DB5F15AE-7FBD-42D7-89BB-C6D0D1476DDF}">
      <text>
        <r>
          <rPr>
            <b/>
            <sz val="9"/>
            <color indexed="81"/>
            <rFont val="Tahoma"/>
            <family val="2"/>
          </rPr>
          <t>PC:</t>
        </r>
        <r>
          <rPr>
            <sz val="9"/>
            <color indexed="81"/>
            <rFont val="Tahoma"/>
            <family val="2"/>
          </rPr>
          <t xml:space="preserve">
chuyển nguồn</t>
        </r>
      </text>
    </comment>
    <comment ref="C21" authorId="0" shapeId="0" xr:uid="{06BE8674-77C3-45ED-B101-DF0A62E80F52}">
      <text>
        <r>
          <rPr>
            <b/>
            <sz val="9"/>
            <color indexed="81"/>
            <rFont val="Tahoma"/>
            <family val="2"/>
          </rPr>
          <t>PC:</t>
        </r>
        <r>
          <rPr>
            <sz val="9"/>
            <color indexed="81"/>
            <rFont val="Tahoma"/>
            <family val="2"/>
          </rPr>
          <t xml:space="preserve">
tổng 55,350trđ, đc giảm 1,275trđ cho trường THCS BK 150nđ, trường TH PCK 1,125trđ</t>
        </r>
      </text>
    </comment>
    <comment ref="B37" authorId="0" shapeId="0" xr:uid="{1AEA326A-5930-4290-88E3-CC63E8BA0987}">
      <text>
        <r>
          <rPr>
            <b/>
            <sz val="9"/>
            <color indexed="81"/>
            <rFont val="Tahoma"/>
            <family val="2"/>
          </rPr>
          <t>PC:</t>
        </r>
        <r>
          <rPr>
            <sz val="9"/>
            <color indexed="81"/>
            <rFont val="Tahoma"/>
            <family val="2"/>
          </rPr>
          <t xml:space="preserve">
phòng LĐ 1,361 tỷ</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longqlns</author>
    <author>OS</author>
  </authors>
  <commentList>
    <comment ref="A5" authorId="0" shapeId="0" xr:uid="{00000000-0006-0000-1F00-000001000000}">
      <text>
        <r>
          <rPr>
            <b/>
            <sz val="9"/>
            <color indexed="81"/>
            <rFont val="Tahoma"/>
            <family val="2"/>
          </rPr>
          <t>longqlns:</t>
        </r>
        <r>
          <rPr>
            <sz val="9"/>
            <color indexed="81"/>
            <rFont val="Tahoma"/>
            <family val="2"/>
          </rPr>
          <t xml:space="preserve">
</t>
        </r>
      </text>
    </comment>
    <comment ref="E11" authorId="1" shapeId="0" xr:uid="{00000000-0006-0000-1F00-000002000000}">
      <text>
        <r>
          <rPr>
            <b/>
            <sz val="9"/>
            <color indexed="81"/>
            <rFont val="Tahoma"/>
            <family val="2"/>
          </rPr>
          <t>OS:</t>
        </r>
        <r>
          <rPr>
            <sz val="9"/>
            <color indexed="81"/>
            <rFont val="Tahoma"/>
            <family val="2"/>
          </rPr>
          <t xml:space="preserve">
vốn 2023 chuyển sang</t>
        </r>
      </text>
    </comment>
    <comment ref="E18" authorId="1" shapeId="0" xr:uid="{00000000-0006-0000-1F00-000003000000}">
      <text>
        <r>
          <rPr>
            <b/>
            <sz val="9"/>
            <color indexed="81"/>
            <rFont val="Tahoma"/>
            <family val="2"/>
          </rPr>
          <t>OS:</t>
        </r>
        <r>
          <rPr>
            <sz val="9"/>
            <color indexed="81"/>
            <rFont val="Tahoma"/>
            <family val="2"/>
          </rPr>
          <t xml:space="preserve">
BQL CTMTQG 10tr; Đa dạng hóa sinh kế nuôi gà 6,014188 tr</t>
        </r>
      </text>
    </comment>
    <comment ref="E19" authorId="1" shapeId="0" xr:uid="{00000000-0006-0000-1F00-000004000000}">
      <text>
        <r>
          <rPr>
            <b/>
            <sz val="9"/>
            <color indexed="81"/>
            <rFont val="Tahoma"/>
            <family val="2"/>
          </rPr>
          <t>OS:</t>
        </r>
        <r>
          <rPr>
            <sz val="9"/>
            <color indexed="81"/>
            <rFont val="Tahoma"/>
            <family val="2"/>
          </rPr>
          <t xml:space="preserve">
Cụm loa 18,104tr, cấp mã vừng nhiên liệu19,2169tr</t>
        </r>
      </text>
    </comment>
    <comment ref="E20" authorId="1" shapeId="0" xr:uid="{00000000-0006-0000-1F00-000005000000}">
      <text>
        <r>
          <rPr>
            <b/>
            <sz val="9"/>
            <color indexed="81"/>
            <rFont val="Tahoma"/>
            <family val="2"/>
          </rPr>
          <t>OS:</t>
        </r>
        <r>
          <rPr>
            <sz val="9"/>
            <color indexed="81"/>
            <rFont val="Tahoma"/>
            <family val="2"/>
          </rPr>
          <t xml:space="preserve">
nguồn Tỉnh 2 tr
</t>
        </r>
      </text>
    </comment>
    <comment ref="E23" authorId="1" shapeId="0" xr:uid="{00000000-0006-0000-1F00-000006000000}">
      <text>
        <r>
          <rPr>
            <b/>
            <sz val="9"/>
            <color indexed="81"/>
            <rFont val="Tahoma"/>
            <family val="2"/>
          </rPr>
          <t>OS:</t>
        </r>
        <r>
          <rPr>
            <sz val="9"/>
            <color indexed="81"/>
            <rFont val="Tahoma"/>
            <family val="2"/>
          </rPr>
          <t xml:space="preserve">
trồng cây phân tán 24,88822, khoná bảo vệ rừng 102,423562
</t>
        </r>
      </text>
    </comment>
    <comment ref="D46" authorId="1" shapeId="0" xr:uid="{00000000-0006-0000-1F00-000007000000}">
      <text>
        <r>
          <rPr>
            <b/>
            <sz val="9"/>
            <color indexed="81"/>
            <rFont val="Tahoma"/>
            <family val="2"/>
          </rPr>
          <t>OS:</t>
        </r>
        <r>
          <rPr>
            <sz val="9"/>
            <color indexed="81"/>
            <rFont val="Tahoma"/>
            <family val="2"/>
          </rPr>
          <t xml:space="preserve">
Trường chuẩn</t>
        </r>
      </text>
    </comment>
    <comment ref="D47" authorId="1" shapeId="0" xr:uid="{00000000-0006-0000-1F00-000008000000}">
      <text>
        <r>
          <rPr>
            <b/>
            <sz val="9"/>
            <color indexed="81"/>
            <rFont val="Tahoma"/>
            <family val="2"/>
          </rPr>
          <t>OS:</t>
        </r>
        <r>
          <rPr>
            <sz val="9"/>
            <color indexed="81"/>
            <rFont val="Tahoma"/>
            <family val="2"/>
          </rPr>
          <t xml:space="preserve">
GDĐT;2,64tr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author>
    <author>OS</author>
  </authors>
  <commentList>
    <comment ref="M15" authorId="0" shapeId="0" xr:uid="{B3C84276-66A2-4E18-97F4-A08AA3917BEA}">
      <text>
        <r>
          <rPr>
            <b/>
            <sz val="9"/>
            <color indexed="81"/>
            <rFont val="Tahoma"/>
            <family val="2"/>
          </rPr>
          <t>PC:</t>
        </r>
        <r>
          <rPr>
            <sz val="9"/>
            <color indexed="81"/>
            <rFont val="Tahoma"/>
            <family val="2"/>
          </rPr>
          <t xml:space="preserve">
cập nhật 07/4/2026</t>
        </r>
      </text>
    </comment>
    <comment ref="Q17" authorId="1" shapeId="0" xr:uid="{00000000-0006-0000-0900-000001000000}">
      <text>
        <r>
          <rPr>
            <b/>
            <sz val="9"/>
            <color indexed="81"/>
            <rFont val="Tahoma"/>
            <family val="2"/>
          </rPr>
          <t>OS:</t>
        </r>
        <r>
          <rPr>
            <sz val="9"/>
            <color indexed="81"/>
            <rFont val="Tahoma"/>
            <family val="2"/>
          </rPr>
          <t xml:space="preserve">
trong đó 153,714 tiền điện hộ nghèo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PC</author>
    <author>OS</author>
  </authors>
  <commentList>
    <comment ref="F11" authorId="0" shapeId="0" xr:uid="{F2EC7FFE-0F0F-4620-9F12-A9739D963FB5}">
      <text>
        <r>
          <rPr>
            <b/>
            <sz val="9"/>
            <color indexed="81"/>
            <rFont val="Tahoma"/>
            <family val="2"/>
          </rPr>
          <t>PC:</t>
        </r>
        <r>
          <rPr>
            <sz val="9"/>
            <color indexed="81"/>
            <rFont val="Tahoma"/>
            <family val="2"/>
          </rPr>
          <t xml:space="preserve">
07/4/2026</t>
        </r>
      </text>
    </comment>
    <comment ref="H14" authorId="0" shapeId="0" xr:uid="{E3D37EE2-BE56-4957-BB55-D8215331CE98}">
      <text>
        <r>
          <rPr>
            <b/>
            <sz val="9"/>
            <color indexed="81"/>
            <rFont val="Tahoma"/>
            <family val="2"/>
          </rPr>
          <t>PC:</t>
        </r>
        <r>
          <rPr>
            <sz val="9"/>
            <color indexed="81"/>
            <rFont val="Tahoma"/>
            <family val="2"/>
          </rPr>
          <t xml:space="preserve">
Giảm 9tr, cập nhật 07/4/2026</t>
        </r>
      </text>
    </comment>
    <comment ref="M17" authorId="0" shapeId="0" xr:uid="{C24E8F82-816F-451E-BAEC-D6BD887DC90B}">
      <text>
        <r>
          <rPr>
            <b/>
            <sz val="9"/>
            <color indexed="81"/>
            <rFont val="Tahoma"/>
            <family val="2"/>
          </rPr>
          <t>PC:</t>
        </r>
        <r>
          <rPr>
            <sz val="9"/>
            <color indexed="81"/>
            <rFont val="Tahoma"/>
            <family val="2"/>
          </rPr>
          <t xml:space="preserve">
QĐ THU 50,7372 TĐ</t>
        </r>
      </text>
    </comment>
    <comment ref="J31" authorId="1" shapeId="0" xr:uid="{00000000-0006-0000-0A00-000001000000}">
      <text>
        <r>
          <rPr>
            <b/>
            <sz val="9"/>
            <color indexed="81"/>
            <rFont val="Tahoma"/>
            <family val="2"/>
          </rPr>
          <t>OS:</t>
        </r>
        <r>
          <rPr>
            <sz val="9"/>
            <color indexed="81"/>
            <rFont val="Tahoma"/>
            <family val="2"/>
          </rPr>
          <t xml:space="preserve">
chuyển trong tiết kiệm chi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E15" authorId="0" shapeId="0" xr:uid="{18707E90-1CC1-41B8-BE33-B8B14C9D3208}">
      <text>
        <r>
          <rPr>
            <b/>
            <sz val="9"/>
            <color indexed="81"/>
            <rFont val="Tahoma"/>
            <family val="2"/>
          </rPr>
          <t>PC:</t>
        </r>
        <r>
          <rPr>
            <sz val="9"/>
            <color indexed="81"/>
            <rFont val="Tahoma"/>
            <family val="2"/>
          </rPr>
          <t xml:space="preserve">
trừ số đã chi 6 tháng đầu năm về VPUB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G10" authorId="0" shapeId="0" xr:uid="{3EE5BC84-6007-45A8-AE9A-A8FEB222FB38}">
      <text>
        <r>
          <rPr>
            <b/>
            <sz val="9"/>
            <color indexed="81"/>
            <rFont val="Tahoma"/>
            <family val="2"/>
          </rPr>
          <t>PC:</t>
        </r>
        <r>
          <rPr>
            <sz val="9"/>
            <color indexed="81"/>
            <rFont val="Tahoma"/>
            <family val="2"/>
          </rPr>
          <t xml:space="preserve">
biểu 5.22</t>
        </r>
      </text>
    </comment>
    <comment ref="H10" authorId="0" shapeId="0" xr:uid="{2C6193A1-4290-4FC4-B1EB-6EEF343113B9}">
      <text>
        <r>
          <rPr>
            <b/>
            <sz val="9"/>
            <color indexed="81"/>
            <rFont val="Tahoma"/>
            <family val="2"/>
          </rPr>
          <t>PC:</t>
        </r>
        <r>
          <rPr>
            <sz val="9"/>
            <color indexed="81"/>
            <rFont val="Tahoma"/>
            <family val="2"/>
          </rPr>
          <t xml:space="preserve">
Biểu 5.22</t>
        </r>
      </text>
    </comment>
    <comment ref="G16" authorId="0" shapeId="0" xr:uid="{0C55BAC3-B7B2-4BA0-9979-090961DB3BBF}">
      <text>
        <r>
          <rPr>
            <b/>
            <sz val="9"/>
            <color indexed="81"/>
            <rFont val="Tahoma"/>
            <family val="2"/>
          </rPr>
          <t>PC:</t>
        </r>
        <r>
          <rPr>
            <sz val="9"/>
            <color indexed="81"/>
            <rFont val="Tahoma"/>
            <family val="2"/>
          </rPr>
          <t xml:space="preserve">
Biểu 5.22 (F44)</t>
        </r>
      </text>
    </comment>
    <comment ref="H16" authorId="0" shapeId="0" xr:uid="{84BE1E04-FAD8-4341-AD16-092D58C7213B}">
      <text>
        <r>
          <rPr>
            <b/>
            <sz val="9"/>
            <color indexed="81"/>
            <rFont val="Tahoma"/>
            <family val="2"/>
          </rPr>
          <t>PC:</t>
        </r>
        <r>
          <rPr>
            <sz val="9"/>
            <color indexed="81"/>
            <rFont val="Tahoma"/>
            <family val="2"/>
          </rPr>
          <t xml:space="preserve">
Biểu 5.22(G44)</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M10" authorId="0" shapeId="0" xr:uid="{0FCEF0E7-7536-498E-ABC8-D72DC47F8166}">
      <text>
        <r>
          <rPr>
            <b/>
            <sz val="9"/>
            <color indexed="81"/>
            <rFont val="Tahoma"/>
            <family val="2"/>
          </rPr>
          <t>PC:</t>
        </r>
        <r>
          <rPr>
            <sz val="9"/>
            <color indexed="81"/>
            <rFont val="Tahoma"/>
            <family val="2"/>
          </rPr>
          <t xml:space="preserve">
k trừ thuế TN từ chuyển nhượng BĐS, thừa kế… do năm 2025 tỉnh k điều tiết về ns địa phương hưởng (k trừ N20)</t>
        </r>
      </text>
    </comment>
    <comment ref="I39" authorId="0" shapeId="0" xr:uid="{9B067158-BA04-41FB-9917-4414006DB079}">
      <text>
        <r>
          <rPr>
            <b/>
            <sz val="9"/>
            <color indexed="81"/>
            <rFont val="Tahoma"/>
            <family val="2"/>
          </rPr>
          <t>PC:</t>
        </r>
        <r>
          <rPr>
            <sz val="9"/>
            <color indexed="81"/>
            <rFont val="Tahoma"/>
            <family val="2"/>
          </rPr>
          <t xml:space="preserve">
Trừ 2.335.221.401đ STC nhập sai, đã nộp trả giảm dự toán chi chuyển giao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F63" authorId="0" shapeId="0" xr:uid="{2E48CA52-B08F-45B4-91E9-A43CD2842446}">
      <text>
        <r>
          <rPr>
            <b/>
            <sz val="9"/>
            <color indexed="81"/>
            <rFont val="Tahoma"/>
            <family val="2"/>
          </rPr>
          <t>PC:</t>
        </r>
        <r>
          <rPr>
            <sz val="9"/>
            <color indexed="81"/>
            <rFont val="Tahoma"/>
            <family val="2"/>
          </rPr>
          <t xml:space="preserve">
KP mua sắm trang thiết bị của các trường học (chuyển nguồn 2024-2025</t>
        </r>
      </text>
    </comment>
    <comment ref="F65" authorId="0" shapeId="0" xr:uid="{D50066A8-5192-4F2A-80F2-A4EE8FF0BED2}">
      <text>
        <r>
          <rPr>
            <b/>
            <sz val="9"/>
            <color indexed="81"/>
            <rFont val="Tahoma"/>
            <family val="2"/>
          </rPr>
          <t>PC:</t>
        </r>
        <r>
          <rPr>
            <sz val="9"/>
            <color indexed="81"/>
            <rFont val="Tahoma"/>
            <family val="2"/>
          </rPr>
          <t xml:space="preserve">
CTMTQG GNBV phòng VH</t>
        </r>
      </text>
    </comment>
    <comment ref="F69" authorId="0" shapeId="0" xr:uid="{C68A9A46-6677-44C0-8956-F8E19CDE8094}">
      <text>
        <r>
          <rPr>
            <b/>
            <sz val="9"/>
            <color indexed="81"/>
            <rFont val="Tahoma"/>
            <family val="2"/>
          </rPr>
          <t>PC:</t>
        </r>
        <r>
          <rPr>
            <sz val="9"/>
            <color indexed="81"/>
            <rFont val="Tahoma"/>
            <family val="2"/>
          </rPr>
          <t xml:space="preserve">
CTMTQG GNBV: 266,7tr (KTHT); NTM: 54,8894tr (VPUB)</t>
        </r>
      </text>
    </comment>
    <comment ref="F70" authorId="0" shapeId="0" xr:uid="{B3A342C5-D130-462B-BB7F-AC008C025453}">
      <text>
        <r>
          <rPr>
            <b/>
            <sz val="9"/>
            <color indexed="81"/>
            <rFont val="Tahoma"/>
            <family val="2"/>
          </rPr>
          <t>PC:</t>
        </r>
        <r>
          <rPr>
            <sz val="9"/>
            <color indexed="81"/>
            <rFont val="Tahoma"/>
            <family val="2"/>
          </rPr>
          <t xml:space="preserve">
CTMTQG GNBV (VPUB)</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N7" authorId="0" shapeId="0" xr:uid="{6B05A72D-A8FA-4BE1-B234-777569188CB0}">
      <text>
        <r>
          <rPr>
            <b/>
            <sz val="9"/>
            <color indexed="81"/>
            <rFont val="Tahoma"/>
            <family val="2"/>
          </rPr>
          <t>PC:</t>
        </r>
        <r>
          <rPr>
            <sz val="9"/>
            <color indexed="81"/>
            <rFont val="Tahoma"/>
            <family val="2"/>
          </rPr>
          <t xml:space="preserve">
Bao gồm CT PT lâm nghiệp bền vững, ANGT, Quỹ bảo trì đg bộ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E28" authorId="0" shapeId="0" xr:uid="{098C5F12-E874-4D8F-86A5-93D0AF02E0EC}">
      <text>
        <r>
          <rPr>
            <b/>
            <sz val="9"/>
            <color indexed="81"/>
            <rFont val="Tahoma"/>
            <family val="2"/>
          </rPr>
          <t>PC:</t>
        </r>
        <r>
          <rPr>
            <sz val="9"/>
            <color indexed="81"/>
            <rFont val="Tahoma"/>
            <family val="2"/>
          </rPr>
          <t xml:space="preserve">
KP nghỉ theo NĐ 178 và KP CBCC tỉnh chuyển về xã</t>
        </r>
      </text>
    </comment>
  </commentList>
</comments>
</file>

<file path=xl/sharedStrings.xml><?xml version="1.0" encoding="utf-8"?>
<sst xmlns="http://schemas.openxmlformats.org/spreadsheetml/2006/main" count="16915" uniqueCount="2353">
  <si>
    <t>STT</t>
  </si>
  <si>
    <t>Nội dung</t>
  </si>
  <si>
    <t>Dự toán</t>
  </si>
  <si>
    <t>A</t>
  </si>
  <si>
    <t>B</t>
  </si>
  <si>
    <t>I</t>
  </si>
  <si>
    <t>Thu nội địa</t>
  </si>
  <si>
    <t>1.1</t>
  </si>
  <si>
    <t>Thuế thu nhập cá nhân</t>
  </si>
  <si>
    <t>Lệ phí trước bạ</t>
  </si>
  <si>
    <t>Thu khác ngân sách</t>
  </si>
  <si>
    <t>II</t>
  </si>
  <si>
    <t>(Ký tên, đóng dấu)</t>
  </si>
  <si>
    <t>Tổng số</t>
  </si>
  <si>
    <t>Bao gồm</t>
  </si>
  <si>
    <t>Thuế thu nhập doanh nghiệp</t>
  </si>
  <si>
    <t>Thuế tài nguyên</t>
  </si>
  <si>
    <t>III</t>
  </si>
  <si>
    <t>IV</t>
  </si>
  <si>
    <t>Thuế sử dụng đất phi nông nghiệp</t>
  </si>
  <si>
    <t>Thuế sử dụng đất nông nghiệp</t>
  </si>
  <si>
    <t>Thu tiền sử dụng đất</t>
  </si>
  <si>
    <t>V</t>
  </si>
  <si>
    <t>-</t>
  </si>
  <si>
    <t xml:space="preserve">Chi đầu tư phát triển </t>
  </si>
  <si>
    <t>Chi đầu tư phát triển khác</t>
  </si>
  <si>
    <t>Chi bảo đảm xã hội</t>
  </si>
  <si>
    <t>Chi đầu tư phát triển</t>
  </si>
  <si>
    <t>Chi thường xuyên</t>
  </si>
  <si>
    <t>TỔNG SỐ</t>
  </si>
  <si>
    <t>a</t>
  </si>
  <si>
    <t>b</t>
  </si>
  <si>
    <t>Chi hoạt động của các cơ quan quản lý nhà nước, đảng, đoàn thể</t>
  </si>
  <si>
    <t>Chi giáo dục - đào tạo và dạy nghề</t>
  </si>
  <si>
    <t>Gồm</t>
  </si>
  <si>
    <t>1=2+3</t>
  </si>
  <si>
    <t>4=5+6</t>
  </si>
  <si>
    <t>Nguồn trong nước</t>
  </si>
  <si>
    <t>1.2</t>
  </si>
  <si>
    <t>1.3</t>
  </si>
  <si>
    <t>1.4</t>
  </si>
  <si>
    <t>1.5</t>
  </si>
  <si>
    <t>1.6</t>
  </si>
  <si>
    <t>2.1</t>
  </si>
  <si>
    <t>2.2</t>
  </si>
  <si>
    <t>C</t>
  </si>
  <si>
    <t>Mẫu biểu số 12.2</t>
  </si>
  <si>
    <t>Trong đó</t>
  </si>
  <si>
    <t>11=12+13</t>
  </si>
  <si>
    <t>Trong đó:</t>
  </si>
  <si>
    <t>VI</t>
  </si>
  <si>
    <t>2.3</t>
  </si>
  <si>
    <t>Tên đơn vị</t>
  </si>
  <si>
    <t>Chênh lệch nguồn trong năm</t>
  </si>
  <si>
    <t>Danh mục dự án</t>
  </si>
  <si>
    <t>Ghi chú</t>
  </si>
  <si>
    <t>Tổng số (tất cả các nguồn vốn)</t>
  </si>
  <si>
    <t>Vốn trong nước</t>
  </si>
  <si>
    <t>Thu bổ sung từ ngân sách cấp trên</t>
  </si>
  <si>
    <t>Thu bổ sung cân đối ngân sách</t>
  </si>
  <si>
    <t>Thu bổ sung có mục tiêu</t>
  </si>
  <si>
    <t>Thu kết dư</t>
  </si>
  <si>
    <t>Thu chuyển nguồn từ năm trước chuyển sang</t>
  </si>
  <si>
    <t>TỔNG CHI NGÂN SÁCH ĐỊA PHƯƠNG</t>
  </si>
  <si>
    <t>Dự phòng ngân sách</t>
  </si>
  <si>
    <t>Chi chuyển nguồn sang năm sau</t>
  </si>
  <si>
    <t>Thu NSĐP được hưởng theo phân cấp</t>
  </si>
  <si>
    <t>D</t>
  </si>
  <si>
    <t>CHI CÂN ĐỐI NGÂN SÁCH ĐỊA PHƯƠNG</t>
  </si>
  <si>
    <t>Chi đầu tư và hỗ trợ vốn cho các doanh nghiệp cung cấp sản phẩm, dịch vụ công ích do Nhà nước đặt hàng, các tổ chức kinh tế, các tổ chức tài chính của địa phương theo quy định của pháp luật</t>
  </si>
  <si>
    <t>Chi khoa học và công nghệ</t>
  </si>
  <si>
    <t>Chi quốc phòng</t>
  </si>
  <si>
    <t>Chi y tế, dân số và gia đình</t>
  </si>
  <si>
    <t>Chi văn hóa thông tin</t>
  </si>
  <si>
    <t>Chi bảo vệ môi trường</t>
  </si>
  <si>
    <t>Chi khác</t>
  </si>
  <si>
    <t>Chi sự nghiệp kinh tế</t>
  </si>
  <si>
    <t>TỔNG CHI NSĐP</t>
  </si>
  <si>
    <t>CHI CÂN ĐỐI NSĐP</t>
  </si>
  <si>
    <t>Chi đầu tư cho các dự án</t>
  </si>
  <si>
    <t>Chi an ninh và trật tự an toàn xã hội</t>
  </si>
  <si>
    <t>Chi thể dục thể thao</t>
  </si>
  <si>
    <t>Chi các hoạt động kinh tế</t>
  </si>
  <si>
    <t>Phần thu</t>
  </si>
  <si>
    <t>Thu NS cấp huyện</t>
  </si>
  <si>
    <t>Thu NS xã</t>
  </si>
  <si>
    <t>Phần chi</t>
  </si>
  <si>
    <t>Chi NS cấp huyện</t>
  </si>
  <si>
    <t>Chi NS xã</t>
  </si>
  <si>
    <t>Tr.đó: - Bổ sung cân đối ngân sách</t>
  </si>
  <si>
    <t>Dự toán năm</t>
  </si>
  <si>
    <t>Quyết toán năm</t>
  </si>
  <si>
    <t>So sánh QT/DT (%)</t>
  </si>
  <si>
    <t>Cấp trên giao</t>
  </si>
  <si>
    <t>HĐND quyết định</t>
  </si>
  <si>
    <t>TỔNG SỐ (A+B+C+D+E)</t>
  </si>
  <si>
    <t>THU NGÂN SÁCH NHÀ NƯỚC</t>
  </si>
  <si>
    <t>Thu về dầu thô</t>
  </si>
  <si>
    <t>Thu Hải quan</t>
  </si>
  <si>
    <t>Các khoản huy động, đóng góp</t>
  </si>
  <si>
    <t>THU CHUYỂN GIAO NGÂN SÁCH</t>
  </si>
  <si>
    <t>1.</t>
  </si>
  <si>
    <t xml:space="preserve">Bổ sung cân đối </t>
  </si>
  <si>
    <t>2.</t>
  </si>
  <si>
    <t>Bổ sung có mục tiêu</t>
  </si>
  <si>
    <t xml:space="preserve">Bổ sung có mục tiêu bằng nguồn vốn trong nước </t>
  </si>
  <si>
    <t>Bổ sung có mục tiêu bằng nguồn vốn ngoài nước</t>
  </si>
  <si>
    <t>Thu từ ngân sách cấp dưới nộp lên</t>
  </si>
  <si>
    <t>THU CHUYỂN NGUỒN</t>
  </si>
  <si>
    <t>THU KẾT DƯ NGÂN SÁCH</t>
  </si>
  <si>
    <t>Nội dung chi</t>
  </si>
  <si>
    <t>So sánh QT/DT(%)</t>
  </si>
  <si>
    <t>Tổng số Chi NSĐP</t>
  </si>
  <si>
    <t>CHI CÂN ĐỐI NGÂN SÁCH</t>
  </si>
  <si>
    <t>Chi Giáo dục - đào tạo và dạy nghề</t>
  </si>
  <si>
    <t>Chi Khoa học và công nghệ</t>
  </si>
  <si>
    <t>Chi Y tế, dân số và gia đình</t>
  </si>
  <si>
    <t>Chi Văn hóa thông tin</t>
  </si>
  <si>
    <t>1.7</t>
  </si>
  <si>
    <t>Chi Phát thanh, truyền hình, thông tấn</t>
  </si>
  <si>
    <t>1.8</t>
  </si>
  <si>
    <t>Chi Thể dục thể thao</t>
  </si>
  <si>
    <t>1.9</t>
  </si>
  <si>
    <t>Chi Bảo vệ môi trường</t>
  </si>
  <si>
    <t>1.10</t>
  </si>
  <si>
    <t>1.11</t>
  </si>
  <si>
    <t>1.12</t>
  </si>
  <si>
    <t>Chi Bảo đảm xã hội</t>
  </si>
  <si>
    <t>1.13</t>
  </si>
  <si>
    <t>Chi đầu tư và hỗ trợ vốn cho các doanh nghiệp hoạt động công</t>
  </si>
  <si>
    <t>2.4</t>
  </si>
  <si>
    <t>2.5</t>
  </si>
  <si>
    <t>2.6</t>
  </si>
  <si>
    <t>2.7</t>
  </si>
  <si>
    <t>2.8</t>
  </si>
  <si>
    <t>2.9</t>
  </si>
  <si>
    <t>Chi chuyển nguồn</t>
  </si>
  <si>
    <t>CHI BỔ SUNG CHO NGÂN SÁCH CẤP DƯỚI</t>
  </si>
  <si>
    <t>Bổ sung cân đối</t>
  </si>
  <si>
    <t>Tr. đó: - Bằng nguồn vốn trong nước</t>
  </si>
  <si>
    <t xml:space="preserve">           - Bằng nguồn vốn ngoài nước</t>
  </si>
  <si>
    <t>CHI NỘP NGÂN SÁCH CẤP TRÊN</t>
  </si>
  <si>
    <t>Chương</t>
  </si>
  <si>
    <t>Mục</t>
  </si>
  <si>
    <t>Tiểu mục</t>
  </si>
  <si>
    <t>NS cấp huyện</t>
  </si>
  <si>
    <t>NS xã</t>
  </si>
  <si>
    <t>Khoản</t>
  </si>
  <si>
    <t>Số quyết toán chi tăng, giảm so với dự toán</t>
  </si>
  <si>
    <t>Nhiệm vụ chi đột xuất được bổ sung</t>
  </si>
  <si>
    <t>Tăng, giảm biên chế so với dự toán</t>
  </si>
  <si>
    <t>THUYẾT MINH</t>
  </si>
  <si>
    <t>Tổng nguồn</t>
  </si>
  <si>
    <t>Trung ương bổ sung</t>
  </si>
  <si>
    <t>Nguồn của NSĐP</t>
  </si>
  <si>
    <t>- Từ quỹ dự trữ tài chính</t>
  </si>
  <si>
    <t>- Từ nguồn thưởng vượt thu</t>
  </si>
  <si>
    <t>- Từ nguồn khác</t>
  </si>
  <si>
    <t>Các nguồn khác</t>
  </si>
  <si>
    <t>Nguồn viện trợ nước ngoài</t>
  </si>
  <si>
    <t>Tổng kinh phí sử dụng đã được quyết toán chi NSĐP</t>
  </si>
  <si>
    <t>Chi đầu tư XDCB</t>
  </si>
  <si>
    <t>Chi giáo dục</t>
  </si>
  <si>
    <t>Dự phòng</t>
  </si>
  <si>
    <t>Thưởng vượt dự toán thu</t>
  </si>
  <si>
    <t>Chi đầu tư và hỗ trợ vốn doanh nghiệp (nếu có theo phân cấp)</t>
  </si>
  <si>
    <t>Số kiến nghị của</t>
  </si>
  <si>
    <t>Số tồn tại chưa xử lý</t>
  </si>
  <si>
    <t>Thanh tra</t>
  </si>
  <si>
    <t>Kiểm toán</t>
  </si>
  <si>
    <t>Các khoản thu phải nộp ngân sách</t>
  </si>
  <si>
    <t xml:space="preserve">Các khoản thu phải nộp ngân sách </t>
  </si>
  <si>
    <t>Cơ quan tài chính giảm trừ cấp phát</t>
  </si>
  <si>
    <t>Đơn vị tính: Triệu đồng</t>
  </si>
  <si>
    <t>Số tuyệt đối</t>
  </si>
  <si>
    <t>Số tương đối</t>
  </si>
  <si>
    <t>3=2-1</t>
  </si>
  <si>
    <t>Phần thứ nhất</t>
  </si>
  <si>
    <t>Mẫu biểu lập dự toán thu ngân sách nhà nước</t>
  </si>
  <si>
    <t>Mẫu biểu số 01:</t>
  </si>
  <si>
    <t>Tổng hợp dự toán thu ngân sách nhà nước năm....</t>
  </si>
  <si>
    <t>Dùng cho cơ quan thuế các cấp báo cáo: Cơ quan thuế cấp trên, UBND, cơ quan tài chính, cơ quan kế hoạch và đầu tư cùng cấp</t>
  </si>
  <si>
    <t>Mẫu biểu số 02:</t>
  </si>
  <si>
    <t>Tổng hợp dự toán thu ngân sách nhà nước theo sắc thuế năm...</t>
  </si>
  <si>
    <t>Mẫu biểu số 03:</t>
  </si>
  <si>
    <t>Dự kiến số thuế giá trị gia tăng phải hoàn năm....</t>
  </si>
  <si>
    <t>Mẫu biểu số 04:</t>
  </si>
  <si>
    <t>Tổng hợp dự toán thu từ hoạt động xuất nhập khẩu năm...</t>
  </si>
  <si>
    <t>Dùng cho cơ quan hải quan các cấp báo cáo: Cơ quan hải quan cấp trên, UBND, cơ quan tài chính, cơ quan kế hoạch và đầu tư cùng cấp</t>
  </si>
  <si>
    <t>Phần thứ hai</t>
  </si>
  <si>
    <t>Mẫu biểu lập dự toán thu, chi ngân sách nhà nước</t>
  </si>
  <si>
    <t>Mẫu biểu số 05:</t>
  </si>
  <si>
    <t>Dự toán thu, chi ngân sách nhà nước năm...</t>
  </si>
  <si>
    <t>Mẫu biểu số 06:</t>
  </si>
  <si>
    <t>Dự toán thu, chi ngân sách nhà nước năm... chi tiết theo đơn vị trực thuộc</t>
  </si>
  <si>
    <t>Mẫu biểu số 07:</t>
  </si>
  <si>
    <t>Dự toán thu, chi, nộp ngân sách nhà nước từ các khoản phí và lệ phí năm...</t>
  </si>
  <si>
    <t>Mẫu biểu số 08:</t>
  </si>
  <si>
    <t>Tổng hợp dự toán thu, chi từ nguồn vay nợ nước ngoài và vốn đối ứng năm...</t>
  </si>
  <si>
    <t>Mẫu biểu số 09:</t>
  </si>
  <si>
    <t>Tổng hợp dự toán thu, chi từ nguồn viện trợ và vốn đối ứng năm...</t>
  </si>
  <si>
    <t>Mẫu biểu số 10:</t>
  </si>
  <si>
    <t>Dự toán chi bằng ngoại tệ năm...</t>
  </si>
  <si>
    <t>Mẫu biểu số 11.1:</t>
  </si>
  <si>
    <t>Dự toán chi các chương trình mục tiêu quốc gia, chương trình mục tiêu năm...</t>
  </si>
  <si>
    <t>Mẫu biểu số 11.2:</t>
  </si>
  <si>
    <t>Mẫu biểu số 12.1:</t>
  </si>
  <si>
    <t>Dự toán thu, chi theo lĩnh vực sự nghiệp năm...</t>
  </si>
  <si>
    <t>Dự toán thu, chi đơn vị sự nghiệp lĩnh vực năm...</t>
  </si>
  <si>
    <t>Mẫu biểu số 12.3:</t>
  </si>
  <si>
    <t>Mẫu biểu số 12.4:</t>
  </si>
  <si>
    <t>Mẫu biểu số 12.5:</t>
  </si>
  <si>
    <t>Mẫu biểu số 13.1:</t>
  </si>
  <si>
    <t>Cơ sở tính chi sự nghiệp giáo dục - đào tạo và dạy nghề năm...</t>
  </si>
  <si>
    <t>Mẫu biểu số 13.2:</t>
  </si>
  <si>
    <t>Cơ sở tính chi sự nghiệp y tế, dân số và gia đình năm...</t>
  </si>
  <si>
    <t>Mẫu biểu số 13.3:</t>
  </si>
  <si>
    <t>Cơ sở tính chi sự nghiệp khoa học và công nghệ năm...</t>
  </si>
  <si>
    <t>Mẫu biểu số 13.4:</t>
  </si>
  <si>
    <t>Cơ sở tính chi sự nghiệp văn hóa thông tin năm...</t>
  </si>
  <si>
    <t>Mẫu biểu số 13.5:</t>
  </si>
  <si>
    <t>Cơ sở tính chi sự nghiệp phát thanh, truyền hình, thông tấn năm...</t>
  </si>
  <si>
    <t>Mẫu biểu số 13.6:</t>
  </si>
  <si>
    <t>Cơ sở tính chi sự nghiệp thể dục thể thao năm...</t>
  </si>
  <si>
    <t>Mẫu biểu số 13.7:</t>
  </si>
  <si>
    <t>Cơ sở tính chi sự nghiệp bảo vệ môi trường năm...</t>
  </si>
  <si>
    <t>Mẫu biểu số 13.8:</t>
  </si>
  <si>
    <t>Cơ sở tính chi các hoạt động kinh tế năm...</t>
  </si>
  <si>
    <t>Mẫu biểu số 13.9:</t>
  </si>
  <si>
    <t>Chi tiết chi các hoạt động kinh tế theo chương trình/dự án năm...</t>
  </si>
  <si>
    <t>Mẫu biểu số 13.10:</t>
  </si>
  <si>
    <t>Cơ sở tính chi thực hiện chính sách đối với các đối tượng thuộc lĩnh vực bảo đảm xã hội năm...</t>
  </si>
  <si>
    <t>Mẫu biểu số 13.11:</t>
  </si>
  <si>
    <t>Cơ sở tính chi thực hiện chính sách ưu đãi người có công với cách mạng năm...</t>
  </si>
  <si>
    <t>Mẫu biểu số 13.12:</t>
  </si>
  <si>
    <t>Cơ sở tính chi thực hiện chính sách trợ giúp xã hội năm...</t>
  </si>
  <si>
    <t>Dùng cho cơ quan lao động - thương binh và xã hội báo cáo cơ quan tài chính cùng cấp</t>
  </si>
  <si>
    <t>Mẫu biểu số 14:</t>
  </si>
  <si>
    <t>Cơ sở tính chi hoạt động của các cơ quan quản lý nhà nước, đảng, đoàn thể năm...</t>
  </si>
  <si>
    <t>Mẫu biểu số 15.1:</t>
  </si>
  <si>
    <t>Báo cáo biên chế - tiền lương của các cơ quan quản lý nhà nước, đảng, đoàn thể năm...</t>
  </si>
  <si>
    <t>Mẫu biểu số 15.2:</t>
  </si>
  <si>
    <t>Báo cáo lao động - tiền lương - nguồn kinh phí đảm bảo của các đơn vị sự nghiệp năm...</t>
  </si>
  <si>
    <t>Mẫu biểu số 16:</t>
  </si>
  <si>
    <t>Cơ sở tính chi mua bổ sung hàng dự trữ quốc gia năm...</t>
  </si>
  <si>
    <t>Mẫu biểu số 17:</t>
  </si>
  <si>
    <t>Dự toán chi cấp bù chênh lệch lãi suất và phí quản lý năm...</t>
  </si>
  <si>
    <t>Dùng cho đơn vị được giao nhiệm vụ huy động vốn để cho vay ưu đãi theo quy định của Chính phủ, quyết định của Thủ tướng Chính phủ để báo cáo Bộ Tài chính, Bộ Kế hoạch và Đầu tư</t>
  </si>
  <si>
    <t>Mẫu biểu số 18:</t>
  </si>
  <si>
    <t>Kế hoạch tài chính của các quỹ tài chính nhà nước ngoài ngân sách năm...</t>
  </si>
  <si>
    <t>Dùng cho các bộ, cơ quan trung ương và các cơ quan, đơn vị ở địa phương báo cáo cơ quan tài chính cùng cấp</t>
  </si>
  <si>
    <t>Phần thứ ba</t>
  </si>
  <si>
    <t>Mẫu biểu lập dự toán thu, chi của hệ thống bảo hiểm xã hội Việt Nam</t>
  </si>
  <si>
    <t>Mẫu biểu số 19:</t>
  </si>
  <si>
    <t>Tổng hợp dự toán thu, chi các quỹ bảo hiểm năm...</t>
  </si>
  <si>
    <t>Mẫu biểu số 20:</t>
  </si>
  <si>
    <t>Dự toán chi tiết thu, chi Quỹ bảo hiểm xã hội năm...</t>
  </si>
  <si>
    <t>Mẫu biểu số 21:</t>
  </si>
  <si>
    <t>Dự toán chi tiết thu, chi Quỹ bảo hiểm y tế năm...</t>
  </si>
  <si>
    <t>Mẫu biểu số 22:</t>
  </si>
  <si>
    <t>Phần thứ tư</t>
  </si>
  <si>
    <t>Mẫu biểu lập dự toán chi đầu tư phát triển</t>
  </si>
  <si>
    <t>Mẫu biểu số 23:</t>
  </si>
  <si>
    <t>Dự toán chi đầu tư nguồn NSNN (vốn trong nước) năm...</t>
  </si>
  <si>
    <t>Mẫu biểu số 24:</t>
  </si>
  <si>
    <t>Dự toán chi đầu tư từ nguồn vốn ODA và vốn vay ưu đãi theo phương thức cấp phát từ NSTW (không bao gồm vốn nước ngoài giải ngân theo cơ chế tài chính trong nước) năm...</t>
  </si>
  <si>
    <t>Mẫu biểu số 25:</t>
  </si>
  <si>
    <t>Dự toán chi đầu tư từ nguồn vốn ODA và vốn vay ưu đãi theo phương thức cấp phát (giải ngân theo cơ chế tài chính trong nước) năm....</t>
  </si>
  <si>
    <t>Mẫu biểu số 26:</t>
  </si>
  <si>
    <t>Dự toán chi đầu tư từ nguồn vốn NSTW bổ sung có mục tiêu cho NSĐP (vốn trong nước) năm....</t>
  </si>
  <si>
    <t>Mẫu biểu số 27:</t>
  </si>
  <si>
    <t>Tổng hợp dự toán chi đầu tư phát triển năm ...</t>
  </si>
  <si>
    <t>Dùng cho đơn vị dự toán cấp I báo cáo cơ quan tài chính và cơ quan kế hoạch và đầu tư cùng cấp</t>
  </si>
  <si>
    <t>Phần thứ năm</t>
  </si>
  <si>
    <t>Mẫu biểu lập dự toán ngân sách địa phương</t>
  </si>
  <si>
    <t>Mẫu biểu số 28:</t>
  </si>
  <si>
    <t>Một số chỉ tiêu kinh tế - xã hội cơ bản năm...</t>
  </si>
  <si>
    <t>Dùng cho Ủy ban nhân dân tỉnh, thành phố trực thuộc Trung ương báo cáo Bộ Tài chính</t>
  </si>
  <si>
    <t>Mẫu biểu số 29.1:</t>
  </si>
  <si>
    <t>Cân đối NSĐP năm... (dùng cho năm đầu thời kỳ ổn định ngân sách)</t>
  </si>
  <si>
    <t>Mẫu biểu số 29.2:</t>
  </si>
  <si>
    <t>Cân đối NSĐP năm... (dùng cho các năm trong thời kỳ ổn định ngân sách)</t>
  </si>
  <si>
    <t>Mẫu biểu số 30:</t>
  </si>
  <si>
    <t>Kế hoạch vay và trả nợ ngân sách tỉnh, thành phố trực thuộc trung ương năm...</t>
  </si>
  <si>
    <t>Mẫu biểu số 31:</t>
  </si>
  <si>
    <t>Biểu tổng hợp dự toán thu NSNN năm...</t>
  </si>
  <si>
    <t>Mẫu biểu số 32:</t>
  </si>
  <si>
    <t>Biểu tổng hợp dự toán chi NSĐP năm....</t>
  </si>
  <si>
    <t>Mẫu biểu số 33:</t>
  </si>
  <si>
    <t>Tình hình thực hiện các dự án đầu tư sử dụng vốn NSTW bổ sung có mục tiêu cho NSĐP (vốn trong nước) năm... và dự kiến kế hoạch năm...</t>
  </si>
  <si>
    <t>Mẫu biểu số 34:</t>
  </si>
  <si>
    <t>Tình hình thực hiện các dự án đầu tư từ vốn ODA và vốn vay ưu đãi kế hoạch năm... và dự kiến kế hoạch năm....</t>
  </si>
  <si>
    <t>Mẫu biểu số 35:</t>
  </si>
  <si>
    <t>Dự toán thu từ hoạt động cung cấp dịch vụ của đơn vị sự nghiệp công lập năm...</t>
  </si>
  <si>
    <t>Phần thứ sáu</t>
  </si>
  <si>
    <t>Mẫu biểu phân bổ, thuyết minh phân bổ và chấp hành ngân sách nhà nước</t>
  </si>
  <si>
    <t>Mẫu biểu phân bổ, thuyết minh phân bổ</t>
  </si>
  <si>
    <t>Mẫu biểu số 36:</t>
  </si>
  <si>
    <t>Dùng cho các bộ, cơ quan trung ương báo cáo Bộ Tài chính (kèm theo mẫu A phụ lục 2)</t>
  </si>
  <si>
    <t>Mẫu biểu số 37:</t>
  </si>
  <si>
    <t>Phân bổ dự toán thu, chi ngân sách nhà nước năm...</t>
  </si>
  <si>
    <t>Mẫu biểu số 38:</t>
  </si>
  <si>
    <t>Thuyết minh phân bổ chi sự nghiệp giáo dục - đào tạo và dạy nghề</t>
  </si>
  <si>
    <r>
      <t xml:space="preserve">Mẫu biểu số 39 </t>
    </r>
    <r>
      <rPr>
        <i/>
        <sz val="12"/>
        <color rgb="FF000000"/>
        <rFont val="Times New Roman"/>
        <family val="1"/>
      </rPr>
      <t>(gồm mẫu biểu số 39.1 và 39.2):</t>
    </r>
  </si>
  <si>
    <t>Thuyết minh phân bổ chi sự nghiệp khoa học và công nghệ</t>
  </si>
  <si>
    <r>
      <t xml:space="preserve">Mẫu biểu số 40 </t>
    </r>
    <r>
      <rPr>
        <i/>
        <sz val="12"/>
        <color rgb="FF000000"/>
        <rFont val="Times New Roman"/>
        <family val="1"/>
      </rPr>
      <t>(gồm mẫu biểu số 40.1 và 40.2):</t>
    </r>
  </si>
  <si>
    <t>Thuyết minh phân bổ chi sự nghiệp y tế</t>
  </si>
  <si>
    <t>Mẫu biểu số 41:</t>
  </si>
  <si>
    <t>Thuyết minh phân bổ chi sự nghiệp văn hóa thông tin</t>
  </si>
  <si>
    <t>Mẫu biểu số 42:</t>
  </si>
  <si>
    <t>Thuyết minh phân bổ chi sự nghiệp phát thanh, truyền hình, thông tấn</t>
  </si>
  <si>
    <t>Mẫu biểu số 43:</t>
  </si>
  <si>
    <t>Thuyết minh phân bổ chi sự nghiệp thể dục thể thao</t>
  </si>
  <si>
    <r>
      <t xml:space="preserve">Mẫu biểu số 44 </t>
    </r>
    <r>
      <rPr>
        <i/>
        <sz val="12"/>
        <color rgb="FF000000"/>
        <rFont val="Times New Roman"/>
        <family val="1"/>
      </rPr>
      <t>(gồm mẫu biểu số 44.1 và 44.2):</t>
    </r>
  </si>
  <si>
    <t>Thuyết minh phân bổ chi sự nghiệp bảo vệ môi trường</t>
  </si>
  <si>
    <r>
      <t xml:space="preserve">Mẫu biểu số 45 </t>
    </r>
    <r>
      <rPr>
        <i/>
        <sz val="12"/>
        <color rgb="FF000000"/>
        <rFont val="Times New Roman"/>
        <family val="1"/>
      </rPr>
      <t>(gồm mẫu biểu số 45.1; 45.2 và 45.3):</t>
    </r>
  </si>
  <si>
    <t>Thuyết minh phân bổ chi hoạt động kinh tế</t>
  </si>
  <si>
    <r>
      <t xml:space="preserve">Mẫu biểu số 46 </t>
    </r>
    <r>
      <rPr>
        <i/>
        <sz val="12"/>
        <color rgb="FF000000"/>
        <rFont val="Times New Roman"/>
        <family val="1"/>
      </rPr>
      <t>(gồm mẫu biểu số 46.1; 46.2 và 46.3):</t>
    </r>
  </si>
  <si>
    <t>Thuyết minh phân bổ chi quản lý hành chính</t>
  </si>
  <si>
    <r>
      <t xml:space="preserve">Mẫu biểu số 47 </t>
    </r>
    <r>
      <rPr>
        <i/>
        <sz val="12"/>
        <color rgb="FF000000"/>
        <rFont val="Times New Roman"/>
        <family val="1"/>
      </rPr>
      <t>(gồm mẫu biểu số 47.1; 47.2 và 47.3)</t>
    </r>
  </si>
  <si>
    <t>Thuyết minh phân bổ chi đảm bảo xã hội</t>
  </si>
  <si>
    <t>Mẫu biểu số 48:</t>
  </si>
  <si>
    <t>Dùng cho các Sở và cơ quan cấp tỉnh; Phòng và các cơ quan cấp huyện, báo cáo cơ quan tài chính cùng cấp, kho bạc nhà nước (kèm theo mẫu B, C phụ lục 2)</t>
  </si>
  <si>
    <t>Mẫu biểu số 49:</t>
  </si>
  <si>
    <t>Mẫu biểu cáo cáo chấp hành ngân sách nhà nước</t>
  </si>
  <si>
    <t>Mẫu biểu số 50:</t>
  </si>
  <si>
    <t>Tình hình cân đối NSNN tháng... năm....</t>
  </si>
  <si>
    <t>Dùng cho Bộ Tài chính báo cáo Chính phủ, các cơ quan liên quan</t>
  </si>
  <si>
    <t>Mẫu biểu số 51:</t>
  </si>
  <si>
    <t>Ước thực hiện thu NSNN tháng... năm....</t>
  </si>
  <si>
    <t>Mẫu biểu số 52:</t>
  </si>
  <si>
    <t>Ước thực hiện chi NSNN tháng... năm....</t>
  </si>
  <si>
    <t>Mẫu biểu số 53:</t>
  </si>
  <si>
    <t>Dùng cho cơ quan thuế, hải quan báo cáo cơ quan tài chính cùng cấp và cơ quan liên quan</t>
  </si>
  <si>
    <t>Mẫu biểu số 54:</t>
  </si>
  <si>
    <t>Thực hiện dự toán thu, chi NSNN quý... năm....</t>
  </si>
  <si>
    <t>Dùng cho đơn vị dự toán cấp I thuộc ngân sách trung ương báo cáo Bộ Tài chính</t>
  </si>
  <si>
    <t>Mẫu biểu số 55:</t>
  </si>
  <si>
    <t>Tình hình cân đối NSĐP tháng... năm....</t>
  </si>
  <si>
    <t>Dùng cho Ủy ban nhân dân tỉnh, thành phố trực thuộc trung ương báo cáo Bộ Tài chính</t>
  </si>
  <si>
    <t>Mẫu biểu số 56:</t>
  </si>
  <si>
    <t>Mẫu biểu số 57:</t>
  </si>
  <si>
    <t>Ước thực hiện chi NSĐP tháng... năm....</t>
  </si>
  <si>
    <t>Phần thứ bảy</t>
  </si>
  <si>
    <t>Mẫu biểu báo cáo quyết toán ngân sách nhà nước</t>
  </si>
  <si>
    <t>Mẫu biểu số 58:</t>
  </si>
  <si>
    <t>Số dư tài khoản tiền gửi kinh phí ngân sách cấp của đơn vị dự toán được chuyển nguồn sang năm sau của các đơn vị thuộc ngân sách các cấp năm...chuyển sang năm....</t>
  </si>
  <si>
    <t>Dùng cho các đơn vị dự toán ngân sách thuộc ngân sách các cấp báo cáo cơ quan kho bạc nhà nước</t>
  </si>
  <si>
    <t>Mẫu biểu số 59:</t>
  </si>
  <si>
    <t>Tình hình thực hiện dự toán của các nhiệm vụ được chuyển nguồn sang năm sau của các đơn vị thuộc ngân sách các cấp năm... chuyển sang năm...</t>
  </si>
  <si>
    <t>Mẫu biểu số 60:</t>
  </si>
  <si>
    <t>Cân đối quyết toán ngân sách địa phương năm....</t>
  </si>
  <si>
    <t>Dùng cho Ủy ban nhân dân cấp dưới báo cáo cơ quan tài chính cấp trên trực tiếp</t>
  </si>
  <si>
    <t>Mẫu biểu số 61:</t>
  </si>
  <si>
    <t>Quyết toán thu NSNN, vay NSĐP năm...</t>
  </si>
  <si>
    <t>Mẫu biểu số 62:</t>
  </si>
  <si>
    <t>Quyết toán chi ngân sách địa phương năm....</t>
  </si>
  <si>
    <t>Mẫu biểu số 63:</t>
  </si>
  <si>
    <t>Quyết toán thu NSNN, vay NSĐP theo mục lục ngân sách nhà nước năm...</t>
  </si>
  <si>
    <t>Dùng cho cơ quan tài chính cấp dưới báo cáo cơ quan tài chính cấp trên trực tiếp</t>
  </si>
  <si>
    <t>Mẫu biểu số 64:</t>
  </si>
  <si>
    <t>Quyết toán chi, trả nợ NSĐP theo mục lục ngân sách nhà nước năm...</t>
  </si>
  <si>
    <t>Mẫu biểu số 65:</t>
  </si>
  <si>
    <t>Quyết toán chi chương trình mục tiêu theo mục lục ngân sách nhà nước năm....</t>
  </si>
  <si>
    <t>Mẫu biểu số 66:</t>
  </si>
  <si>
    <t>Thuyết minh tăng, giảm chi quản lý hành chính, Đảng, đoàn thể năm....</t>
  </si>
  <si>
    <t>Mẫu biểu số 67:</t>
  </si>
  <si>
    <t>Thuyết minh chi khắc phục hậu quả thiên tai năm....</t>
  </si>
  <si>
    <t>Mẫu biểu số 68:</t>
  </si>
  <si>
    <t>Thuyết minh tình hình sử dụng nguồn dự phòng, tăng thu và thưởng vượt dự toán thu ngân sách năm....</t>
  </si>
  <si>
    <t>Mẫu biểu số 69:</t>
  </si>
  <si>
    <t>Báo cáo tình hình kiểm toán, thanh tra năm....</t>
  </si>
  <si>
    <t>Mẫu biểu số 70:</t>
  </si>
  <si>
    <t>Báo cáo chi chuyển nguồn sang năm sau năm....</t>
  </si>
  <si>
    <t>Dùng cho cơ quan tài chính báo cáo cơ quan tài chính cấp trên trực tiếp</t>
  </si>
  <si>
    <t>Phụ lục</t>
  </si>
  <si>
    <t>x</t>
  </si>
  <si>
    <t>Dùng cho:
- Đơn vị sử dụng ngân sách báo cáo đơn vị dự toán cấp trên
- Đơn vị dự toán cấp I báo cáo cơ quan tài chính cùng cấp</t>
  </si>
  <si>
    <t>Dùng cho:
- Cơ quan bảo hiểm xã hội các cấp báo cáo cơ quan bảo hiểm xã hội cấp trên
- Bảo hiểm xã hội Việt Nam báo cáo Bộ Tài chính</t>
  </si>
  <si>
    <t>Dùng cho:
- Đơn vị sử dụng ngân sách báo cáo đơn vị dự toán cấp trên
- Đơn vị dự toán cấp I báo cáo cơ quan tài chính và cơ quan kế hoạch và đầu tư cùng cấp</t>
  </si>
  <si>
    <t>Dùng cho:
- Đơn vị sử dụng ngân sách báo cáo đơn vị dự toán cấp trên
- Đơn vị dự toán cấp I báo cáo cơ quan tài chính và cơ quan kế hoạch và đầu tư cùng cấp
- UBND cấp tỉnh báo cáo Bộ Tài chính, Bộ Kế hoạch và Đầu tư</t>
  </si>
  <si>
    <t>Dùng cho:
- Đơn vị dự toán cấp trên tổng hợp dự toán của các đơn vị sử dụng ngân sách
- Đơn vị dự toán cấp I báo cáo cơ quan tài chính, cơ quan kế hoạch và đầu tư cùng cấp</t>
  </si>
  <si>
    <t>Dùng cho:
- Đơn vị sử dụng ngân sách báo cáo đơn vị dự toán cấp trên
- Đơn vị dự toán cấp I báo cáo cơ quan tài chính, cơ quan kế hoạch và đầu tư cùng cấp
- UBND cấp tỉnh báo cáo Bộ Tài chính, Bộ Kế hoạch và Đầu tư</t>
  </si>
  <si>
    <t>Dùng cho:
- Đơn vị sử dụng ngân sách trung ương báo cáo đơn vị dự toán cấp trên
- Đơn vị dự toán cấp I thuộc ngân sách trung ương báo cáo Bộ Tài chính</t>
  </si>
  <si>
    <t>Dùng cho:
- Đơn vị sử dụng ngân sách báo cáo đơn vị dự toán cấp trên
- Đơn vị dự toán cấp I ở địa phương báo cáo cơ quan tài chính, cơ quan kế hoạch và đầu tư cùng cấp</t>
  </si>
  <si>
    <t>Dùng cho:
- Các bộ, cơ quan trung ương và UBND các địa phương báo cáo cơ quan quản lý chương trình mục tiêu quốc gia, chương trình mục tiêu
- Cơ quan quản lý chương trình mục tiêu quốc gia, chương trình mục tiêu báo cáo Bộ Tài chính, Bộ Kế hoạch và Đầu tư</t>
  </si>
  <si>
    <t>Dùng cho:
- Đơn vị sử dụng ngân sách báo cáo cơ quan quản lý cấp trên
- Đơn vị dự toán cấp I báo cáo cơ quan tài chính cùng cấp</t>
  </si>
  <si>
    <t>Dùng cho:
- Đơn vị sự nghiệp công tự bảo đảm chi thường xuyên và chi đầu tư báo cáo cơ quan quản lý cấp trên
- Đơn vị dự toán cấp I báo cáo cơ quan tài chính cùng cấp</t>
  </si>
  <si>
    <t>Dùng cho:
- Đơn vị sự nghiệp công tự bảo đảm chi thường xuyên báo cáo cơ quan quản lý cấp trên
- Đơn vị dự toán cấp I báo cáo cơ quan tài chính cùng cấp</t>
  </si>
  <si>
    <t>Dùng cho:
- Đơn vị sự nghiệp công tự bảo đảm một phần chi thường xuyên báo cáo cơ quan quản lý cấp trên
- Đơn vị dự toán cấp I báo cáo cơ quan tài chính cùng cấp</t>
  </si>
  <si>
    <t>Dùng cho:
- Đơn vị sự nghiệp công do Nhà nước bảo đảm chi thường xuyên báo cáo cơ quan quản lý cấp trên
- Đơn vị dự toán cấp I báo cáo cơ quan tài chính cùng cấp</t>
  </si>
  <si>
    <t>Dùng cho:
- Cơ quan lao động - thương binh và xã hội các cấp để báo cáo cơ quan lao động- thương binh và xã hội cấp trên
- Bộ Lao động-Thương binh và Xã hội báo cáo Bộ Tài chính</t>
  </si>
  <si>
    <t>Dùng cho:
- Đơn vị sử dụng ngân sách ở trung ương báo cáo đơn vị dự toán cấp trên
- Đơn vị dự toán cấp I thuộc ngân sách trung ương báo cáo Bộ Tài chính, Bộ Kế hoạch và Đầu tư</t>
  </si>
  <si>
    <t>- Đơn vị dự toán cấp I các cấp báo cáo cơ quan tài chính cùng cấp.
- Dùng cho Ủy ban nhân dân báo cáo cơ quan tài chính cấp trên trực tiếp</t>
  </si>
  <si>
    <t>Sử dụng phục vụ lập báo cáo địa phương</t>
  </si>
  <si>
    <t>Các mẫu biểu</t>
  </si>
  <si>
    <t>CQ báo cáo và nhận báo cáo</t>
  </si>
  <si>
    <t>Dự toán chi tiết thu, chi Quỹ bảo hiểm thất nghiệp năm…</t>
  </si>
  <si>
    <t xml:space="preserve">DANH MỤC MẪU BIỂU KÈM THEO THÔNG TƯ SỐ 342/2016/TT-BTC
NGÀY 30/12/2016 CỦA BỘ TÀI CHÍNH </t>
  </si>
  <si>
    <t>Nội dung (1)</t>
  </si>
  <si>
    <t>Quyết toán</t>
  </si>
  <si>
    <t>So sánh</t>
  </si>
  <si>
    <t>Tuyệt đối</t>
  </si>
  <si>
    <t>Tương đối (%)</t>
  </si>
  <si>
    <t>4=2/1</t>
  </si>
  <si>
    <t>TỔNG NGUỒN THU NSĐP</t>
  </si>
  <si>
    <t>Thu NSĐP hưởng 100%</t>
  </si>
  <si>
    <t>Thu NSĐP hưởng từ các khoản thu phân chia</t>
  </si>
  <si>
    <t xml:space="preserve">Thu bổ sung từ ngân sách cấp trên </t>
  </si>
  <si>
    <t xml:space="preserve">Tổng chi cân đối NSĐP </t>
  </si>
  <si>
    <t>Chi trả nợ lãi các khoản do chính quyền địa phương vay</t>
  </si>
  <si>
    <t>Chi tạo nguồn, điều chỉnh tiền lương</t>
  </si>
  <si>
    <t>Chi các chương trình mục tiêu</t>
  </si>
  <si>
    <t>Chi các chương trình mục tiêu quốc gia</t>
  </si>
  <si>
    <t>So sánh (%)</t>
  </si>
  <si>
    <t>Nguồn thu ngân sách</t>
  </si>
  <si>
    <t>Thu ngân sách được hưởng theo phân cấp</t>
  </si>
  <si>
    <t>Bổ sung cân đối ngân sách</t>
  </si>
  <si>
    <t>Chi ngân sách</t>
  </si>
  <si>
    <t>Chi bổ sung cho ngân sách cấp dưới</t>
  </si>
  <si>
    <t>Chi bổ sung cân đối ngân sách</t>
  </si>
  <si>
    <t>Chi bổ sung có mục tiêu</t>
  </si>
  <si>
    <t>Kết dư</t>
  </si>
  <si>
    <t>Tổng thu NSNN</t>
  </si>
  <si>
    <t>Thu NSĐP</t>
  </si>
  <si>
    <t>5=3/1</t>
  </si>
  <si>
    <t>6=4/2</t>
  </si>
  <si>
    <t>TỔNG THU CÂN ĐỐI NSNN</t>
  </si>
  <si>
    <t xml:space="preserve">Thu phí, lệ phí </t>
  </si>
  <si>
    <t>THU KẾT DƯ NĂM TRƯỚC</t>
  </si>
  <si>
    <t>THU CHUYỂN NGUỒN TỪ NĂM TRƯỚC CHUYỂN SANG</t>
  </si>
  <si>
    <t>3=2/1</t>
  </si>
  <si>
    <t xml:space="preserve">Chi đầu tư cho các dự án </t>
  </si>
  <si>
    <t>CHI CÁC CHƯƠNG TRÌNH MỤC TIÊU</t>
  </si>
  <si>
    <t>CHI CHUYỂN NGUỒN SANG NĂM SAU</t>
  </si>
  <si>
    <t>Chi phát thanh, truyền hình, thông tấn</t>
  </si>
  <si>
    <t>Chi hoạt động của cơ quan quản lý nhà nước, đảng, đoàn thể</t>
  </si>
  <si>
    <t>Chi đầu tư khác</t>
  </si>
  <si>
    <t>Ngân sách địa phương</t>
  </si>
  <si>
    <t>7=4/1</t>
  </si>
  <si>
    <t>8=5/2</t>
  </si>
  <si>
    <t>9=6/3</t>
  </si>
  <si>
    <t>Chi chương trình MTQG</t>
  </si>
  <si>
    <t>Chi chuyển nguồn sang ngân sách năm sau</t>
  </si>
  <si>
    <t>CHI DỰ PHÒNG NGÂN SÁCH</t>
  </si>
  <si>
    <t>CHI TẠO NGUỒN, ĐIỀU CHỈNH TIỀN LƯƠNG</t>
  </si>
  <si>
    <t>CHI CHUYỂN NGUỒN SANG NGÂN SÁCH NĂM SAU</t>
  </si>
  <si>
    <t>Chi giao thông</t>
  </si>
  <si>
    <t>Chi nông nghiệp, lâm nghiệp, thủy lợi, thủy sản</t>
  </si>
  <si>
    <t>Kinh phí thực hiện trong năm</t>
  </si>
  <si>
    <t>Nguồn còn lại</t>
  </si>
  <si>
    <t>Dự toán đầu năm</t>
  </si>
  <si>
    <t>Chuyển nguồn năm sau</t>
  </si>
  <si>
    <t>Hủy bỏ</t>
  </si>
  <si>
    <t>Tên đơn vị (1)</t>
  </si>
  <si>
    <t>Chi CTMTQG</t>
  </si>
  <si>
    <t>Chi giáo dục đào tạo dạy nghề</t>
  </si>
  <si>
    <t>So sách (%)</t>
  </si>
  <si>
    <t>Vốn đầu tư để thực hiện các CTMT, nhiệm vụ</t>
  </si>
  <si>
    <t>Vốn sự nghiệp thực hiện các chế độ, chính sách</t>
  </si>
  <si>
    <t>Vốn thực hiện các CTMT quốc gia</t>
  </si>
  <si>
    <t>Vốn ngoài nước</t>
  </si>
  <si>
    <t>3=4+5</t>
  </si>
  <si>
    <t>17=9/1</t>
  </si>
  <si>
    <t>18=10/2</t>
  </si>
  <si>
    <t>19=11/3</t>
  </si>
  <si>
    <t>20=12/4</t>
  </si>
  <si>
    <t>21=13/5</t>
  </si>
  <si>
    <t>22=14/6</t>
  </si>
  <si>
    <t>23=15/7</t>
  </si>
  <si>
    <t>24=16/8</t>
  </si>
  <si>
    <t>Tổng thu NSĐP</t>
  </si>
  <si>
    <t>Thu NSĐP hưởng theo phân cấp</t>
  </si>
  <si>
    <t>Số bổ sung thực hiện cải cách tiền lương</t>
  </si>
  <si>
    <t>Thu từ kết dư năm trước</t>
  </si>
  <si>
    <t>Đầu tư phát triển</t>
  </si>
  <si>
    <t>Kinh phí sự nghiệp</t>
  </si>
  <si>
    <t>Chia ra</t>
  </si>
  <si>
    <t>Quyết định đầu tư</t>
  </si>
  <si>
    <t>Số Quyết định, ngày, tháng, năm ban hành</t>
  </si>
  <si>
    <t>Tổng mức đầu tư được duyệt</t>
  </si>
  <si>
    <t>Chia theo nguồn vốn</t>
  </si>
  <si>
    <t>Tên Quỹ</t>
  </si>
  <si>
    <t>Tổng nguồn vốn phát sinh trong năm</t>
  </si>
  <si>
    <t>Tổng sử dụng nguồn vốn trong năm</t>
  </si>
  <si>
    <t>5=2-4</t>
  </si>
  <si>
    <t>9=6-8</t>
  </si>
  <si>
    <t>10=1+6-8</t>
  </si>
  <si>
    <t>Thu ngân sách cấp dưới nộp lên</t>
  </si>
  <si>
    <t>Chi nộp ngân sách cấp trên</t>
  </si>
  <si>
    <t>Kết dư ngân sách</t>
  </si>
  <si>
    <t>1=2+3-4+5</t>
  </si>
  <si>
    <t>7=1-6</t>
  </si>
  <si>
    <t>Số tiền</t>
  </si>
  <si>
    <t>Vốn đầu tư</t>
  </si>
  <si>
    <t>Cấp huyện</t>
  </si>
  <si>
    <t>Cấp xã</t>
  </si>
  <si>
    <t>KẾT DƯ NSĐP</t>
  </si>
  <si>
    <t>NGÂN SÁCH CẤP HUYỆN</t>
  </si>
  <si>
    <t>NGÂN SÁCH XÃ</t>
  </si>
  <si>
    <t xml:space="preserve">Kết dư </t>
  </si>
  <si>
    <t>Ngân sách cấp huyện</t>
  </si>
  <si>
    <t>Ngân sách xã</t>
  </si>
  <si>
    <t xml:space="preserve">Ngân sách cấp huyện </t>
  </si>
  <si>
    <t>Ngân sách cấp xã</t>
  </si>
  <si>
    <t>Đơn vị: Đồng</t>
  </si>
  <si>
    <t>Chi thuộc nhiệm vụ của ngân sách cấp xã</t>
  </si>
  <si>
    <t>Chi thuộc nhiệm vụ của ngân sách cấp huyện</t>
  </si>
  <si>
    <t xml:space="preserve">CHI BỔ SUNG CÂN ĐỐI CHO NGÂN SÁCH CẤP DƯỚI </t>
  </si>
  <si>
    <t>17= 2/1</t>
  </si>
  <si>
    <t>E</t>
  </si>
  <si>
    <t>TỔNG CỘNG</t>
  </si>
  <si>
    <t>UBND THÀNH PHỐ BẮC KẠN</t>
  </si>
  <si>
    <t>CHỦ TỊCH</t>
  </si>
  <si>
    <t xml:space="preserve"> - </t>
  </si>
  <si>
    <t>G</t>
  </si>
  <si>
    <t>Văn phòng HĐND-UBND</t>
  </si>
  <si>
    <t>Phòng Tư pháp</t>
  </si>
  <si>
    <t>Phòng Văn hoá thông tin -TT</t>
  </si>
  <si>
    <t xml:space="preserve">Phòng Lao động TB&amp;XH </t>
  </si>
  <si>
    <t xml:space="preserve">Phòng Giáo dục </t>
  </si>
  <si>
    <t>Khối Đảng</t>
  </si>
  <si>
    <t>Phường Đức Xuân</t>
  </si>
  <si>
    <t>Phường Sông Cầu</t>
  </si>
  <si>
    <t>Phường Huyền Tụng</t>
  </si>
  <si>
    <t>Phường Xuất Hóa</t>
  </si>
  <si>
    <t>Xã Nông Thượng</t>
  </si>
  <si>
    <t>Xã Dương Quang</t>
  </si>
  <si>
    <t>Chi Chương trình MTQG</t>
  </si>
  <si>
    <t xml:space="preserve">Dự toán </t>
  </si>
  <si>
    <t>Phòng Kinh tế</t>
  </si>
  <si>
    <t>Chương trình mục tiêu quốc gia xây dựng nông thôn mới</t>
  </si>
  <si>
    <t>Chương trình mục tiêu quốc gia giảm nghèo bền vững</t>
  </si>
  <si>
    <t>Thuế giá trị gia tăng</t>
  </si>
  <si>
    <t>Chi dự phòng</t>
  </si>
  <si>
    <t>Vốn sự nghiệp</t>
  </si>
  <si>
    <t>Chi các Chương trình mục tiêu quốc gia</t>
  </si>
  <si>
    <t>Chi các Chương trình mục tiêu, nhiệm vụ</t>
  </si>
  <si>
    <t>Thu từ khu vực DNNN do trung ương quản lý</t>
  </si>
  <si>
    <t>Thu từ khu vực DNNN do địa phương quản lý</t>
  </si>
  <si>
    <t xml:space="preserve">Thu từ khu vực kinh tế ngoài quốc doanh </t>
  </si>
  <si>
    <t>Thuế tiêu thụ đặc biệt</t>
  </si>
  <si>
    <t>THU NỘI ĐỊA</t>
  </si>
  <si>
    <t>6=3/1</t>
  </si>
  <si>
    <t>7=3/2</t>
  </si>
  <si>
    <t>Phân chia theo từng cấp ngân sách</t>
  </si>
  <si>
    <t>Kết dư ngân sách năm quyết toán  = Thu - Chi</t>
  </si>
  <si>
    <t>TỔNG SỐ THU</t>
  </si>
  <si>
    <t>TỔNG SỐ CHI</t>
  </si>
  <si>
    <t>A. Tổng số thu cân đối ngân sách</t>
  </si>
  <si>
    <t>A. Tổng số chi cân đối ngân sách</t>
  </si>
  <si>
    <t>1. Các khoản thu NSĐP hưởng 100%</t>
  </si>
  <si>
    <t>2. Các khoản thu phân chia theo tỷ lệ %</t>
  </si>
  <si>
    <t>2. Chi trả nợ lãi, phí tiền vay</t>
  </si>
  <si>
    <t>3. Chi thường xuyên</t>
  </si>
  <si>
    <t>4. Chi bổ sung quỹ dự trữ tài chính</t>
  </si>
  <si>
    <t>5. Chi bổ sung cho ngân sách cấp dưới</t>
  </si>
  <si>
    <t>6. Chi chuyển nguồn sang năm sau</t>
  </si>
  <si>
    <t>7. Chi nộp ngân sách cấp trên</t>
  </si>
  <si>
    <t>Kinh phí còn dư</t>
  </si>
  <si>
    <t>Chuyển nguồn sang ngân sách năm sau</t>
  </si>
  <si>
    <t>Các chương trình, nhiệm vụ khác</t>
  </si>
  <si>
    <t>4= 5+6</t>
  </si>
  <si>
    <t>7=8+9</t>
  </si>
  <si>
    <t>10 =11+12+13+14</t>
  </si>
  <si>
    <t xml:space="preserve">Chi tạo nguồn, điều chỉnh tiền lương </t>
  </si>
  <si>
    <t>Thu NSTW</t>
  </si>
  <si>
    <t>Thu NS cấp tỉnh</t>
  </si>
  <si>
    <t>Quỹ phòng chống thiên tai</t>
  </si>
  <si>
    <t>Quỹ đền ơn đáp nghĩa</t>
  </si>
  <si>
    <t>Quỹ bảo trợ trẻ em</t>
  </si>
  <si>
    <t xml:space="preserve">CHI BỔ SUNG CÓ MỤC TIÊU CHO NGÂN SÁCH CẤP DƯỚI </t>
  </si>
  <si>
    <t>Tổng cộng</t>
  </si>
  <si>
    <t>3.1</t>
  </si>
  <si>
    <t>3.2</t>
  </si>
  <si>
    <t>TỔNG NGUỒN THU NSNN (A+B+C)</t>
  </si>
  <si>
    <t>Phường Phùng Chí Kiên</t>
  </si>
  <si>
    <t>Đơn vị tính: Triệu đồng./.</t>
  </si>
  <si>
    <t>Ban QLDA ĐT và XD thành phố</t>
  </si>
  <si>
    <t>Tiền đền bù GPMB san nền khu dân cư Quang Sơn</t>
  </si>
  <si>
    <t>Ban Bồi thường GPMB thành phố</t>
  </si>
  <si>
    <t>Thu viện trợ</t>
  </si>
  <si>
    <t>1. Chi đầu tư phát triển</t>
  </si>
  <si>
    <t>Thu Tài trợ (ghi thu, ghi chi vốn ODA vay lại Chương trình đô thị miền núi phía Bắc)</t>
  </si>
  <si>
    <t>Chi sự nghiệp y tế</t>
  </si>
  <si>
    <t>17=2/1</t>
  </si>
  <si>
    <t>Tổng</t>
  </si>
  <si>
    <t xml:space="preserve">Kiến nghị của kiểm toán, thanh tra các năm trước còn tồn tại chưa xử lý </t>
  </si>
  <si>
    <t xml:space="preserve">Nội dung </t>
  </si>
  <si>
    <t>Số bổ sung cân đối và bổ sung có mục tiêu từ ngân sách cấp trên</t>
  </si>
  <si>
    <t>Dự toán giao đầu năm</t>
  </si>
  <si>
    <t>Chi ngành, lĩnh vực khác (đầu năm chưa phân bổ)</t>
  </si>
  <si>
    <t>Số Quyết toán</t>
  </si>
  <si>
    <t>Chính sách hỗ trợ chi phí học tập và miễn giảm học sinh cho học sinh phổ thông và cao đẳng đại học theo Nghị định 86/2015/NĐ-CP</t>
  </si>
  <si>
    <t>Chương trình mục tiêu phát triển hệ thống trợ giúp xã hội</t>
  </si>
  <si>
    <t>Quỹ người cao tuổi</t>
  </si>
  <si>
    <t>Dự toán được giao trong năm</t>
  </si>
  <si>
    <t>Dự toán được sử dụng</t>
  </si>
  <si>
    <t xml:space="preserve">          - Bổ sung có mục tiêu</t>
  </si>
  <si>
    <t>Kinh phí hoạt động quý I năm 2014</t>
  </si>
  <si>
    <t>Phường N T Minh Khai</t>
  </si>
  <si>
    <t>Phường N T  Minh Khai</t>
  </si>
  <si>
    <t>(Ghi chú: Tại Báo cáo quyết toán ngân sách năm 2018 số dư nợ Kinh phí bắn pháo hoa tết năm 2016 là 194,7 triệu đồng là do Ban Chỉ huy quân sự thành phố cung cấp thiếu chứng từ nộp 15 triệu đồng đã nộp năm 2017)</t>
  </si>
  <si>
    <t>CTMT Phát triển lâm nghiệp bền vững (TW)</t>
  </si>
  <si>
    <t>Thu tiền cho thuê, bán nhà thuộc sở hữu nhà nước</t>
  </si>
  <si>
    <t>4.1</t>
  </si>
  <si>
    <t>4.2</t>
  </si>
  <si>
    <t>9=8/7</t>
  </si>
  <si>
    <t>DQ</t>
  </si>
  <si>
    <t>Vốn đầu tư phát triển</t>
  </si>
  <si>
    <t>Quỹ vì người nghèo</t>
  </si>
  <si>
    <t>Quỹ hội chữ thập đỏ</t>
  </si>
  <si>
    <t>Quỹ cứu trợ</t>
  </si>
  <si>
    <t>6.1</t>
  </si>
  <si>
    <t>6.2</t>
  </si>
  <si>
    <t>4.3</t>
  </si>
  <si>
    <t>4.4</t>
  </si>
  <si>
    <t>4.5</t>
  </si>
  <si>
    <t>4.6</t>
  </si>
  <si>
    <t>4.7</t>
  </si>
  <si>
    <t>Quỹ hội nông dân</t>
  </si>
  <si>
    <t>4.8</t>
  </si>
  <si>
    <t>4.9</t>
  </si>
  <si>
    <t>NT</t>
  </si>
  <si>
    <t>HT</t>
  </si>
  <si>
    <t xml:space="preserve">Thời gian </t>
  </si>
  <si>
    <t>Chi các chương trình, nhiệm vụ</t>
  </si>
  <si>
    <t>Số dư đến ngày 31/12/2020</t>
  </si>
  <si>
    <t>Dự toán đã phân bổ trong năm hết nhiệm vụ chi bị hủy bỏ và dư nguồn thành phố điều hành chưa phân bổ</t>
  </si>
  <si>
    <t>Nguồn cân đối ngân sách địa phương</t>
  </si>
  <si>
    <t>1 = 2 + 3</t>
  </si>
  <si>
    <t>TỔNG CỘNG (A + B)</t>
  </si>
  <si>
    <t>4=1+2-3</t>
  </si>
  <si>
    <t>15= 5/1</t>
  </si>
  <si>
    <t>16= 6/2</t>
  </si>
  <si>
    <t>17=8/3</t>
  </si>
  <si>
    <t>18=10/4</t>
  </si>
  <si>
    <t>Chương trình phòng chống tội phạm, phòng chống ma túy</t>
  </si>
  <si>
    <t>Ủy ban MTTQ</t>
  </si>
  <si>
    <t xml:space="preserve">Hội Phụ nữ </t>
  </si>
  <si>
    <t xml:space="preserve">Chính sách hỗ trợ tiền điện cho hộ nghèo, hộ chính sách xã hội </t>
  </si>
  <si>
    <t>Chính sách đối với người có uy tín trong đồng bào dân tộc thiểu số</t>
  </si>
  <si>
    <t>Chính sách hỗ trợ học phí, học bổng cho học sinh khuyết tật</t>
  </si>
  <si>
    <t>Kinh phí hỗ trợ sản phẩm, dịch vụ công ích thủy lợi năm 2021</t>
  </si>
  <si>
    <t>Kinh phí thực hiện nhiệm vụ đảm bảo trật tự an toàn giao thông</t>
  </si>
  <si>
    <t>Kinh phí quản lý, bảo trì đường bộ cho các quỹ bảo trì đường bộ địa phương</t>
  </si>
  <si>
    <t>Hỗ trợ chi phí học tập theo Nghị định 57</t>
  </si>
  <si>
    <t>Hỗ trợ kinh phí cho đội công tác xã hội tình nguyện</t>
  </si>
  <si>
    <t>Chính sách hỗ trợ tiền ăn trưa cho trẻ 3-5 tuổi và chính sách cho GV mầm non</t>
  </si>
  <si>
    <t>Số dư đến ngày 31/12/2021</t>
  </si>
  <si>
    <t>Số phát sinh tăng trong năm 2021</t>
  </si>
  <si>
    <t>Số phát sinh giảm trong năm 2021</t>
  </si>
  <si>
    <t>Dự toán đã phân bổ trong năm hết nhiệm vụ chi bị hủy bỏ</t>
  </si>
  <si>
    <t>BẢNG TỔNG HỢP CÁC KHOẢN CHI TẠM ỨNG</t>
  </si>
  <si>
    <t>Chương trình mục tiêu quốc gia dân tộc thiểu số</t>
  </si>
  <si>
    <t>29=5/1</t>
  </si>
  <si>
    <t>30=6/2</t>
  </si>
  <si>
    <t>31=7/3</t>
  </si>
  <si>
    <t>Phòng Nội vụ</t>
  </si>
  <si>
    <t>Trung tâm y tế</t>
  </si>
  <si>
    <t>Sổ sung trong năm</t>
  </si>
  <si>
    <t>Chương trình mục tiêu quốc gia vùng đồng bào dân tộc thiểu số</t>
  </si>
  <si>
    <t>Chi tạo nguồn CCTL</t>
  </si>
  <si>
    <t>Chi quản lý hành chính</t>
  </si>
  <si>
    <t>chênh lệch bằng tổng cl biểu 5.22</t>
  </si>
  <si>
    <t>Chi Văn hóa thông tin, thể thao</t>
  </si>
  <si>
    <t>,</t>
  </si>
  <si>
    <t>Các nội dung chi khác</t>
  </si>
  <si>
    <t>Năm 2022</t>
  </si>
  <si>
    <t>Phòng TCKH</t>
  </si>
  <si>
    <t>Các chính sách hỗ trợ BHYT theo quy định tại Luật BHYT và Nghị định số 105/2014/NĐ-CP ngày 15/11/2014 của Chính phủ</t>
  </si>
  <si>
    <t>Nguồn vốn thực hiện CTMTQG giai đoạn 2021-2026</t>
  </si>
  <si>
    <t>Chính sách hỗ trợ đối tượng bảo trợ xã hội theo NĐ20 (nguồn tỉnh)</t>
  </si>
  <si>
    <t>Chính sách hỗ BHYTtheo NĐ 105/2014</t>
  </si>
  <si>
    <t>Nộp trả ngân sách NN do hết nhiệm vụ chi, chưa chi</t>
  </si>
  <si>
    <t>KP thực hiện nhiệm vụ bảo vệ, phát triển đất trồng lúa theo Nghị định số 62/2019/NĐ-CP ngày 11/7/2019 của CP năm 2022 (QĐ 1100 20/6/2022)</t>
  </si>
  <si>
    <t>KP hỗ trợ SXNN để khôi phục vùng bị thiệt hại do thiên tai, dịch bệnh gây ra năm 2022 (QĐ 2567 28/12/2022</t>
  </si>
  <si>
    <t>Chương trình MTQG giai đoạn 2022-2026</t>
  </si>
  <si>
    <t>CTMTQG xây dựng nông thôn mới</t>
  </si>
  <si>
    <t>CTMTQG giảm nghèo bền vững</t>
  </si>
  <si>
    <t>CTMTQG phát triển KT-XH vùng đồng bào DTTS và miền núi</t>
  </si>
  <si>
    <t>Kinh phí quản lý và sử dụng đất trồng lúa theo Nghị định 35/2015/NĐ-CP (Nguồn tỉnh) và (NĐ62/2019)</t>
  </si>
  <si>
    <t>Nguồn vốn ngân sách TW bổ sung có mục tiêu</t>
  </si>
  <si>
    <t xml:space="preserve">Nguồn vốn Cân đối ngân sách địa phương </t>
  </si>
  <si>
    <t xml:space="preserve">VỐN CHƯƠNG TRÌNH MỤC TIÊU QUỐC GIA </t>
  </si>
  <si>
    <t>Thu từ các khoản thu phân chia gồm: Thuế TNCN từ bất động sản, thuế sử dụng đất phi nông nghiệp, thu tiền sử dụng đất, thuế sử dụng đất nông nghiệp</t>
  </si>
  <si>
    <t>phân chia</t>
  </si>
  <si>
    <t>Huyện</t>
  </si>
  <si>
    <t>Xã</t>
  </si>
  <si>
    <t>Phân chia</t>
  </si>
  <si>
    <t>Mục lục</t>
  </si>
  <si>
    <t>1006</t>
  </si>
  <si>
    <t>1012</t>
  </si>
  <si>
    <t>Tăng thu, tiết kiệm chi</t>
  </si>
  <si>
    <t xml:space="preserve">TỔNG SỐ </t>
  </si>
  <si>
    <t>KP thực hiện Chương trình phát triển lâm nghiệp bền vững</t>
  </si>
  <si>
    <t>KP chúc thọ người cao tuổi</t>
  </si>
  <si>
    <t>Phụ cấp dân phòng</t>
  </si>
  <si>
    <t>Công tác quản lý, bảo dưỡng thường xuyên các tuyến đường huyện, đường xã trên địa bàn TPBK</t>
  </si>
  <si>
    <t>Chi bổ sung mục tiêu</t>
  </si>
  <si>
    <t>Chi bổ sung nhiệm vụ</t>
  </si>
  <si>
    <t>NGÂN SÁCH TỈNH HỖ TRỢ CÓ MỤC TIÊU</t>
  </si>
  <si>
    <t>Sữa chữa sân thể thao trung tâm xã Nông Thượng, TP BK</t>
  </si>
  <si>
    <t>BDVCI</t>
  </si>
  <si>
    <t>BQLDA</t>
  </si>
  <si>
    <t>Thể thao</t>
  </si>
  <si>
    <t>GD</t>
  </si>
  <si>
    <t>Kinh tế</t>
  </si>
  <si>
    <t>QLHC</t>
  </si>
  <si>
    <t>Năm 2023</t>
  </si>
  <si>
    <t>MK</t>
  </si>
  <si>
    <t>Đơn vị thực hiện</t>
  </si>
  <si>
    <t>UBND phường Huyền Tụng</t>
  </si>
  <si>
    <t>UBND xã Nông Thượng</t>
  </si>
  <si>
    <t>CK</t>
  </si>
  <si>
    <t>SC</t>
  </si>
  <si>
    <t>XH</t>
  </si>
  <si>
    <t>UBND Xã Dương Quang</t>
  </si>
  <si>
    <t>UBND Xã Nông Thượng</t>
  </si>
  <si>
    <t>đx</t>
  </si>
  <si>
    <t>CT phát triển lâm nghiệp bền vững (TW)</t>
  </si>
  <si>
    <t>UBND Phường Xuấ Hóa</t>
  </si>
  <si>
    <t>Nguồn bổ sung có mục tiêu</t>
  </si>
  <si>
    <t>Nguồn vốn đầu tư khác</t>
  </si>
  <si>
    <t>Nguồn năm trước chuyển sang (bao gồm cả kết dư)</t>
  </si>
  <si>
    <t>Chính sách hỗ trợ đối tượng bảo trợ xã hội theo NĐ20/NĐ-CP</t>
  </si>
  <si>
    <t>KP hỗ trợ SXNN để khôi phục vùng bị thiệt hại do thiên tai, dịch bệnh gây ra (dịch tả Châu Phi)</t>
  </si>
  <si>
    <t>3.Thu các khoản huy động đóng góp</t>
  </si>
  <si>
    <t>4. Thu kết dư năm trước</t>
  </si>
  <si>
    <t>5. Thu chuyển nguồn từ năm trước sang</t>
  </si>
  <si>
    <t>6. Thu bổ sung từ ngân sách cấp trên</t>
  </si>
  <si>
    <t>7. Thu từ ngân sách cấp dưới nộp lên</t>
  </si>
  <si>
    <t>Quỹ TNXP</t>
  </si>
  <si>
    <t>Cộng</t>
  </si>
  <si>
    <t>QUYẾT TOÁN CHI NGÂN SÁCH ĐỊA PHƯƠNG, CHI NGÂN SÁCH CẤP HUYỆN VÀ CHI NGÂN SÁCH XÃ THEO CƠ CẤU CHI NĂM 2024</t>
  </si>
  <si>
    <t>QUYẾT TOÁN CHI NGÂN SÁCH ĐỊA PHƯƠNG TỪNG XÃ NĂM 2024</t>
  </si>
  <si>
    <t>QUYẾT TOÁN THU NGÂN SÁCH XÃ NĂM 2024</t>
  </si>
  <si>
    <t>TỔNG HỢP QUYẾT TOÁN CHI CTMTQG NGÂN SÁCH CẤP HUYỆN CỦA TỪNG CƠ QUAN, TỔ CHỨC 
THEO NGUỒN VỐN NĂM 2024</t>
  </si>
  <si>
    <t>QUYẾT TOÁN VỐN ĐẦU TƯ CÁC CHƯƠNG TRÌNH, DỰ ÁN SỬ DỤNG VỐN CTMTQG NĂM 2024</t>
  </si>
  <si>
    <t>THUYẾT MINH KẾT DƯ NGÂN SÁCH HUYỆN NĂM 2024</t>
  </si>
  <si>
    <t>QUYẾT TOÁN CHI CHƯƠNG TRÌNH MỤC TIÊU QUỐC GIA, CHƯƠNG TRÌNH MỤC TIÊU VÀ CHƯƠNG TRÌNH, NHIỆM VỤ KHÁC NĂM 2024</t>
  </si>
  <si>
    <t>Kinh phí đảm bảo an toàn giao thông năm 2024</t>
  </si>
  <si>
    <t>Hỗ trợ công tác lập quy hoạch điểm dân cư và XD NTM</t>
  </si>
  <si>
    <t>Hỗ trợ KP tổ chức đại hội MTTQ và HLHHTN cấp xã</t>
  </si>
  <si>
    <t>Kinh phí diễn tập năm 2024</t>
  </si>
  <si>
    <t>Phòng văn hóa thông tin</t>
  </si>
  <si>
    <t>Phòng kinh tế</t>
  </si>
  <si>
    <t>Hội người cao tuổi</t>
  </si>
  <si>
    <t>Đoàn thanh niên</t>
  </si>
  <si>
    <t>QĐ3260</t>
  </si>
  <si>
    <t>Do chính sách thay đổi, hỗ trợ tinh giản biên chế</t>
  </si>
  <si>
    <t xml:space="preserve">Văn phòng HĐND-UBND </t>
  </si>
  <si>
    <t>UBND Phường Sông Cầu</t>
  </si>
  <si>
    <t>Hội CCB</t>
  </si>
  <si>
    <t>Năm 2024</t>
  </si>
  <si>
    <t>2=3+4+5</t>
  </si>
  <si>
    <t>QĐ 2052</t>
  </si>
  <si>
    <t>QĐ1385</t>
  </si>
  <si>
    <t>Phường Chí Kiên</t>
  </si>
  <si>
    <t>Phường Minh Khai</t>
  </si>
  <si>
    <t>LĐ</t>
  </si>
  <si>
    <t>San gạt sân thể thao xã Dương Quang</t>
  </si>
  <si>
    <t>Đường GTNT nội thôn Nà Vịt</t>
  </si>
  <si>
    <t>Đường GTNT nội thôn Bản Giềng xã Dương Quang</t>
  </si>
  <si>
    <t>Đường nội thôn Khuổi Chang (tuyến từ nhà ông Cường đến nhà ông Hoạt)</t>
  </si>
  <si>
    <t>Đường nội thôn Khuổi Chang (tuyến từ nhà ông Nàm đến nhà ông Báo)</t>
  </si>
  <si>
    <t>Xây dựng rãnh thoát nước Tân Thành, Khuổi Chang</t>
  </si>
  <si>
    <t>Xây dựng đường nội thôn Nà Quáng - Nà Kéo xã Nông Thượng</t>
  </si>
  <si>
    <t>Xây dựng đường ngõ xóm Bản Vá, thôn Nà Chuông</t>
  </si>
  <si>
    <t>Giá trị khối lượng thực hiện từ khởi công đến 31/12/2023</t>
  </si>
  <si>
    <t>Lũy kế vốn đã bố trí đến 31/12/2023</t>
  </si>
  <si>
    <t>Cải tạo, nâng cấp Trường THCS Xuất Hóa giai đoạn 2</t>
  </si>
  <si>
    <t>2403/QĐ-UBND ngày 09/11/2022</t>
  </si>
  <si>
    <t>Xây dựng tuyến phố đi bộ thành phố Bắc Kạn giai đoạn I</t>
  </si>
  <si>
    <t>590/QĐ-UBND ngày 11/3/2024</t>
  </si>
  <si>
    <t xml:space="preserve">Khu dân cư Thôm Dày phường Sông Cầu </t>
  </si>
  <si>
    <t>Xây dựng các hạng mục còn lại khu đô thị phía nam</t>
  </si>
  <si>
    <t>Cải tạo, nâng cấp đường từ Quốc lộ 3 lên đồi Chánh Sứ, tỉnh Bắc Kạn</t>
  </si>
  <si>
    <t>Quy hoạch chung xây dựng thành phố Bắc Kạn đến năm 2045</t>
  </si>
  <si>
    <t>182/QĐ-UBND ngày 31/01/2024</t>
  </si>
  <si>
    <t>CÁC DỰ ÁN THUỘC KẾ HOẠCH NĂM 2024</t>
  </si>
  <si>
    <t>Đường giao thông nông thôn Tổ Khuổi Pái, phường Huyền Tụng</t>
  </si>
  <si>
    <t>CI</t>
  </si>
  <si>
    <t>ĐT</t>
  </si>
  <si>
    <t>AN</t>
  </si>
  <si>
    <t>ĐX</t>
  </si>
  <si>
    <t>chi</t>
  </si>
  <si>
    <t>kết dư</t>
  </si>
  <si>
    <t>Các chương trình, nhiệm vụ năm 2024</t>
  </si>
  <si>
    <t>Hỗ trợ thiệt hại sau cơn bão số 3</t>
  </si>
  <si>
    <t>Sửa chữa mặt đường, hệ thống thoát nước và lát gạch vỉa hè khu dân cư Quang Sơn</t>
  </si>
  <si>
    <t xml:space="preserve">Nguồn tỉnh </t>
  </si>
  <si>
    <t>Chính sách hỗ trợ chi phí học tập và miễn giảm học sinh cho học sinh phổ thông và cao đẳng đại học theo Nghị định 81/2021/NĐ-CP</t>
  </si>
  <si>
    <t>Chính sách phát triển giáo dục mầm non</t>
  </si>
  <si>
    <t>Học bổng, chi phí học tập cho học sinh khuyết tật Thông tư liên tịch 42/2013/BTC-BGD-BLĐ</t>
  </si>
  <si>
    <t>Chính sách hỗ trợ học tập đối với trẻ mẫu giáo, học sinh, sinh viên người dtts rất ít người theo NĐ 57/2017/NĐ-CP</t>
  </si>
  <si>
    <t>Giáo viên dạy trẻ khuyết tật</t>
  </si>
  <si>
    <t>Chi sửa chữa, thay thế cơ sở vất chất theo NQ 06</t>
  </si>
  <si>
    <t>Phòng Lao động (phần cấp bù theo NĐ 86)</t>
  </si>
  <si>
    <t>TP giao</t>
  </si>
  <si>
    <t>Tỉnh giao</t>
  </si>
  <si>
    <t>Tồn</t>
  </si>
  <si>
    <t>Chính sách hỗ trợ chi phí học tập  theo Nghị định 81/2021/NĐ-CP</t>
  </si>
  <si>
    <t>Giáo viên dạy trẻ KT</t>
  </si>
  <si>
    <t>Cấp bù HP</t>
  </si>
  <si>
    <t>hỗ trợ học tập</t>
  </si>
  <si>
    <t>02</t>
  </si>
  <si>
    <t>dạy ngoài trời</t>
  </si>
  <si>
    <t>Giáo viên dạy ngoài trời</t>
  </si>
  <si>
    <t>thu hồi</t>
  </si>
  <si>
    <t>NĐ73</t>
  </si>
  <si>
    <t>NQ 19</t>
  </si>
  <si>
    <t>NQ 16</t>
  </si>
  <si>
    <t>NQ 02/2024</t>
  </si>
  <si>
    <t>Công ty Cổ phần Chợ Bắc Kạn; Công ty cổ phần đầu tư và xây dựng 389;</t>
  </si>
  <si>
    <t>Mua sắm thiết bịtrường học 2023</t>
  </si>
  <si>
    <t>Mua sắm thiết bịtrường học 2024</t>
  </si>
  <si>
    <t>QĐ 1089</t>
  </si>
  <si>
    <t>QĐ2067</t>
  </si>
  <si>
    <t>Kinh phí giáo viên dạy ngoài trời</t>
  </si>
  <si>
    <t>Thưởng NĐ 73/25024</t>
  </si>
  <si>
    <t>KP mua sắm thiết bị bị năm 2024</t>
  </si>
  <si>
    <t>Chuyển</t>
  </si>
  <si>
    <t>Kinh phí thu hồi sau quyết toán</t>
  </si>
  <si>
    <t>8. Chi khác</t>
  </si>
  <si>
    <t>CTMT</t>
  </si>
  <si>
    <t>Hạt kiểm lâm (Kinh phí chi trả chính sách bảo vệ và phát triển rừng năm 2024)</t>
  </si>
  <si>
    <t>4.10</t>
  </si>
  <si>
    <t>4.11</t>
  </si>
  <si>
    <t>Hỗ trợ lập quy hoạch điểm dân cư nông thôn</t>
  </si>
  <si>
    <t>Hỗ trợ thực hiện CTMTQG xây dụng NTM</t>
  </si>
  <si>
    <t>KP thực hiện chính sách hỗ trợ liên kết sản xuất và tiêu thụ sản phẩm nông nghiệp trên địa bàn tỉnh Bắc Kạn theo Nghị quyết số 01/2022/NQ-HĐND ngày 27/4/2024</t>
  </si>
  <si>
    <t>Kinh phí đào tạo, bồi dưỡng giáo viên theo NQ 16/2022/NQ-HĐND</t>
  </si>
  <si>
    <t>Kinh phí xây dựng xã hội học tập theo NQ 19/2022/NQ-HĐND</t>
  </si>
  <si>
    <t>Kinh phí mua sắm thiết bị dạy học năm 2024</t>
  </si>
  <si>
    <t>Kinh phí hỗ trợ tuyến phố đi bộ và chỉnh trang đô thị chuẩn bị lễ kỷ niệm 10 năm thành lập thành phố</t>
  </si>
  <si>
    <t>Kinh phí phục vụ nhiệm vụ sự nghiệp y tế</t>
  </si>
  <si>
    <t>BỔ SUNG MỤC TIÊU TRONG NĂM</t>
  </si>
  <si>
    <t>Bổ sung trong năm</t>
  </si>
  <si>
    <t>Kinh phí thực hiện quy định chức danh, mức phụ cấp kiêm nhiệm người hoạt động không chuyên trách ở cấp xã, thôn tổ</t>
  </si>
  <si>
    <t>Kinh phí thực hiện chế độ, chính sáchđối với cán bộ không tái cử, tái bổ nhiệm giữa cac chức vụ...</t>
  </si>
  <si>
    <t>Kinh phí thựchiện tinh giản biên chế</t>
  </si>
  <si>
    <t>KP hỗ trợ khác phục hậu quả do cơn bão số 3</t>
  </si>
  <si>
    <t>Kinh phí xếp lương theo chức danh nghề nghiệp và xếp lương đối với viên chức</t>
  </si>
  <si>
    <t>Kinh phí CCTL lần 1</t>
  </si>
  <si>
    <t>Kinh phí CCTL lần 2</t>
  </si>
  <si>
    <t>KP bảo vệ rừng năm 2021</t>
  </si>
  <si>
    <t xml:space="preserve"> Kinh phí thực hiện chính sách NQ 02/2024 ngày 28/3/2024 của HĐND tỉnh</t>
  </si>
  <si>
    <t>CÁC CHẾ ĐỘ TRONG CÂN ĐỐI</t>
  </si>
  <si>
    <t xml:space="preserve">BỔ SUNG MỤC TIÊU </t>
  </si>
  <si>
    <t>MỤC TIÊU ĐẦU NĂM</t>
  </si>
  <si>
    <t>Kinh phí thực hiện cải cách tiền thương theo NĐ 73/2024</t>
  </si>
  <si>
    <t>tổng còn lại</t>
  </si>
  <si>
    <t>HỖ TRỢ CHI ĐẦU TƯ XDCB</t>
  </si>
  <si>
    <t>Hỗ trợ lập quy hoạch điểm dân cư nông thôn (UBND xã Nông Thượng)</t>
  </si>
  <si>
    <t>THEO DÕI CẤP TIỀN</t>
  </si>
  <si>
    <t>QĐ/ ngày tháng</t>
  </si>
  <si>
    <t>Thành phố rút</t>
  </si>
  <si>
    <t>Thành phố nộp trả</t>
  </si>
  <si>
    <t>QĐ số 2338/QĐ-UBND ngày 10/12/2023</t>
  </si>
  <si>
    <t>Bổ sung mục tiêu</t>
  </si>
  <si>
    <t>QĐ số 599/QĐ-UBND ngày 04/4/2024</t>
  </si>
  <si>
    <t>Kinh phí thực hiện chế độ, chính sách đối với cán bộ không tái cử, tái bổ nhiệm giữa cac chức vụ...</t>
  </si>
  <si>
    <t>QĐ số 1309/QĐ-UBND ngày 30/7/2024</t>
  </si>
  <si>
    <t>QĐ số 1551/QĐ-UBND ngày 11/9/2024</t>
  </si>
  <si>
    <t>QĐ số 1669/QĐ-UBND ngày 28/9/2024</t>
  </si>
  <si>
    <t>Nộp trả kinh phí năm 2023</t>
  </si>
  <si>
    <t>Hỗ trợ bão số 3</t>
  </si>
  <si>
    <t>QĐ số 1573/QĐ-UBND ngày 13/9/2024</t>
  </si>
  <si>
    <t>Hỗ trợ bão số 4</t>
  </si>
  <si>
    <t>QĐ số 1708/QĐ-UBND ngày 04/10/2024</t>
  </si>
  <si>
    <t>Nộp giảm KP CTMTQG DTTS</t>
  </si>
  <si>
    <t>Nộp giảm KP CTMTQG GN</t>
  </si>
  <si>
    <t>QĐ số 1855/QĐ-UBND ngày 25/10/2024</t>
  </si>
  <si>
    <t>KP hỗ trợ dịch tả lơn Châu Phi</t>
  </si>
  <si>
    <t>QĐ số 1910/QĐ-UBND ngày05/11/2024</t>
  </si>
  <si>
    <t>Kinh phí xếp lương theo chức danh nghề nghiệp và xếp lương đối với viên chức; CCTL</t>
  </si>
  <si>
    <t>QĐ số 2224/QĐ-UBND ngày 13/12/2024</t>
  </si>
  <si>
    <t>Thu hồi KP chưa thực hiện</t>
  </si>
  <si>
    <t>QĐ số 1316/QĐ-UBND ngày26/12/2024</t>
  </si>
  <si>
    <t>QĐ số 2226/QĐ-UBND ngày 13/12/2024</t>
  </si>
  <si>
    <t>KP một số chính sách</t>
  </si>
  <si>
    <t>QĐ số 2400/QĐ-UBND ngày 31/12/2024</t>
  </si>
  <si>
    <t>Thưởng thoe NĐ 73</t>
  </si>
  <si>
    <t>QĐ số 2403/QĐ-UBND ngày 31/12/2024</t>
  </si>
  <si>
    <t>KP thực hiện bản án số 234/2017/HC-PC ngày 29/8/2017</t>
  </si>
  <si>
    <t>QĐ số 2419/QĐ-UBND ngày 31/12/2024</t>
  </si>
  <si>
    <t>QĐ số 1089/QĐ-UBND ngày 17/4/2024</t>
  </si>
  <si>
    <t>KP phố đi bộ</t>
  </si>
  <si>
    <t>Đồi chánh sứ</t>
  </si>
  <si>
    <t>QĐ số 2067/QĐ-UBND ngày 19/7/2024</t>
  </si>
  <si>
    <t>Hỗ trợ thiên tai, nghỉ việc</t>
  </si>
  <si>
    <t>Thu hồi KP thiết bị trường học</t>
  </si>
  <si>
    <t>QĐ số 2073/QĐ-UBND ngày20/11/2024</t>
  </si>
  <si>
    <t xml:space="preserve">Thu hồi KP </t>
  </si>
  <si>
    <t>ĐVT: triệu đồng</t>
  </si>
  <si>
    <t>UBND xã Nông Thượng (thực hiện quy hoạch chung xã NTM, sân TT xã Nông Thượng)</t>
  </si>
  <si>
    <t>UBND xã Nông Thượng (sân TT xã Nông Thượng)</t>
  </si>
  <si>
    <r>
      <t xml:space="preserve">Trong đó: Hỗ trợ từ NSĐP </t>
    </r>
    <r>
      <rPr>
        <sz val="11"/>
        <rFont val="Times New Roman"/>
        <family val="1"/>
      </rPr>
      <t>(nếu có)</t>
    </r>
  </si>
  <si>
    <t>10,033,572,777</t>
  </si>
  <si>
    <r>
      <t xml:space="preserve">Nguồn năm trước chuyển sang </t>
    </r>
    <r>
      <rPr>
        <sz val="12"/>
        <rFont val="Times New Roman"/>
        <family val="1"/>
      </rPr>
      <t>(nếu có)</t>
    </r>
  </si>
  <si>
    <r>
      <t xml:space="preserve">Bổ sung trong năm </t>
    </r>
    <r>
      <rPr>
        <sz val="12"/>
        <rFont val="Times New Roman"/>
        <family val="1"/>
      </rPr>
      <t>(nếu có)</t>
    </r>
  </si>
  <si>
    <r>
      <t xml:space="preserve">Giảm trừ, thu hồi trong năm </t>
    </r>
    <r>
      <rPr>
        <sz val="12"/>
        <rFont val="Times New Roman"/>
        <family val="1"/>
      </rPr>
      <t>(nếu có)</t>
    </r>
  </si>
  <si>
    <t>NSNN</t>
  </si>
  <si>
    <t>NSTW</t>
  </si>
  <si>
    <t>NS cấp tỉnh</t>
  </si>
  <si>
    <t>NS cấp xã</t>
  </si>
  <si>
    <t>Hỗ trợ KP nghỉ việc theo NĐ 46/2010/NĐ-CP</t>
  </si>
  <si>
    <t>Kinh phí thực hiện cải cách tiền thưởng theo NĐ 73/2024</t>
  </si>
  <si>
    <t>2.11</t>
  </si>
  <si>
    <t>2.13</t>
  </si>
  <si>
    <t>2.14</t>
  </si>
  <si>
    <t>2.15</t>
  </si>
  <si>
    <t>2.16</t>
  </si>
  <si>
    <t>2.17</t>
  </si>
  <si>
    <t>2.18</t>
  </si>
  <si>
    <t>2.19</t>
  </si>
  <si>
    <t>2.20</t>
  </si>
  <si>
    <t>2.21</t>
  </si>
  <si>
    <t>2.22</t>
  </si>
  <si>
    <t>Kinh phí thực hiện cải cách tiền lương theo NĐ 73/2024</t>
  </si>
  <si>
    <t>Kinh phí thực hiện tinh giản biên chế</t>
  </si>
  <si>
    <t>TT</t>
  </si>
  <si>
    <t>BK</t>
  </si>
  <si>
    <t>PQ</t>
  </si>
  <si>
    <t>Thuế thu nhập từ chuyển nhượng BĐS, thừa kế, nhận quà tặng</t>
  </si>
  <si>
    <t>Biểu số 57-NĐ31</t>
  </si>
  <si>
    <t>TỔNG HỢP QUYẾT TOÁN CHI THƯỜNG XUYÊN NGÂN SÁCH CẤP XÃ
 CỦA TỪNG CƠ QUAN, TỔ CHỨC THEO NGUỒN VỐN NĂM 2025</t>
  </si>
  <si>
    <t>Mấy cột dự toán cứ nhập đúng bằng số quyết định của tỉnh nhé</t>
  </si>
  <si>
    <t>Số thực tế quyết toán</t>
  </si>
  <si>
    <t>2 cột này mục đích để đối chiếu số liệu thôi</t>
  </si>
  <si>
    <t>Dự toán được cấp</t>
  </si>
  <si>
    <t>Số thực tế nhập tabmis (ghi chú lý do không nhập ví dụ đơn vị k đề nghị phân bổ…)</t>
  </si>
  <si>
    <t>Lý do chênh lệch</t>
  </si>
  <si>
    <t xml:space="preserve">Số xuất toán </t>
  </si>
  <si>
    <t>Nguồn năm trước chuyển sang</t>
  </si>
  <si>
    <r>
      <t xml:space="preserve">Giảm trừ trong năm </t>
    </r>
    <r>
      <rPr>
        <sz val="12"/>
        <rFont val="Times New Roman"/>
        <family val="1"/>
      </rPr>
      <t>(nếu có)</t>
    </r>
  </si>
  <si>
    <t>Hủy bỏ trên hệ thống tabmis</t>
  </si>
  <si>
    <t>Giữ lại 5%</t>
  </si>
  <si>
    <t>Hủy bỏ tại xã</t>
  </si>
  <si>
    <t>1 = 2 + 3 + 4 - 5</t>
  </si>
  <si>
    <t xml:space="preserve">Phòng Văn hóa - xã hội </t>
  </si>
  <si>
    <t>Trung tâm phục vụ hành chính công</t>
  </si>
  <si>
    <t>Công an xã</t>
  </si>
  <si>
    <t>Trường mầm non Đồng Thắng</t>
  </si>
  <si>
    <t>Trường mầm non Dương Phong</t>
  </si>
  <si>
    <t>Trường mầm non Quang Thuận</t>
  </si>
  <si>
    <t>Trường Tiểu học và THCS Đồng Thắng</t>
  </si>
  <si>
    <t>Trường Tiểu học và THCS Dương Phong</t>
  </si>
  <si>
    <t>Trường Tiểu học và THCS Quang Thuận</t>
  </si>
  <si>
    <t>Kho bạc Nhà nước khu vực VII - Phòng Giao dịch số 7</t>
  </si>
  <si>
    <t>Văn phòng Đảng ủy phường</t>
  </si>
  <si>
    <t>Ủy ban MTTQ Việt Nam phường</t>
  </si>
  <si>
    <t>Văn phòng HĐND-UBND phường</t>
  </si>
  <si>
    <t>Phòng Kinh tế, Hạ tầng và Đô thị</t>
  </si>
  <si>
    <t>Trung tâm dịc vụ tổng hợp</t>
  </si>
  <si>
    <t>Thông kê cơ sở Bắc Kạn</t>
  </si>
  <si>
    <t>Thuế cơ sở 6</t>
  </si>
  <si>
    <t>Phòng Giao dịch số 4, Kho bạc Nhà nước khu vực VII</t>
  </si>
  <si>
    <t>Biểu số 48-NĐ31</t>
  </si>
  <si>
    <t>Biểu số 49-NĐ31</t>
  </si>
  <si>
    <t>Biểu số 50-NĐ31</t>
  </si>
  <si>
    <t>Biểu số 51-NĐ31</t>
  </si>
  <si>
    <t>Biểu số 53-NĐ31</t>
  </si>
  <si>
    <t>Biểu số 52-NĐ31</t>
  </si>
  <si>
    <t>Biểu số 54-NĐ31</t>
  </si>
  <si>
    <t>Biểu số 55-NĐ31</t>
  </si>
  <si>
    <t>Biểu số 56-NĐ31</t>
  </si>
  <si>
    <t>Biểu số 58-NĐ31</t>
  </si>
  <si>
    <t>Biểu số 59-NĐ31</t>
  </si>
  <si>
    <t>Biểu số 60-NĐ31</t>
  </si>
  <si>
    <t>Biểu số 61-NĐ31</t>
  </si>
  <si>
    <t>Biểu số 61.1-NĐ31</t>
  </si>
  <si>
    <t>Biểu số 61.2-NĐ31</t>
  </si>
  <si>
    <t>Biểu số 62-NĐ31</t>
  </si>
  <si>
    <t>Biểu số 63-NĐ31</t>
  </si>
  <si>
    <t>Biểu số 64-NĐ31</t>
  </si>
  <si>
    <t>Biểu số 60-TT342</t>
  </si>
  <si>
    <t>Biểu số 61-TT342</t>
  </si>
  <si>
    <t>Biểu số 62-TT342</t>
  </si>
  <si>
    <t>QUYẾT TOÁN CHI NGÂN SÁCH ĐỊA PHƯƠNG NĂM ……..</t>
  </si>
  <si>
    <t>(Dùng cho Ủy ban nhân dân cấp dưới báo cáo cơ quan tài chính cấp trên trên trực tiếp)</t>
  </si>
  <si>
    <t>Đơn vị tính: nghìn đồng</t>
  </si>
  <si>
    <t>Dự toán năm …</t>
  </si>
  <si>
    <t>Quyết toán năm …</t>
  </si>
  <si>
    <t>HĐND tỉnh giao</t>
  </si>
  <si>
    <t>HĐND cấp xã quyết định</t>
  </si>
  <si>
    <t>Kinh phí chuyển nguồn từ năm trước sang</t>
  </si>
  <si>
    <t>Kinh phí được giao năm 2025</t>
  </si>
  <si>
    <t>(1)</t>
  </si>
  <si>
    <t>(2)</t>
  </si>
  <si>
    <t>(3)=(4)+(7)</t>
  </si>
  <si>
    <t>(4)=(5)+(6)</t>
  </si>
  <si>
    <t>(5)</t>
  </si>
  <si>
    <t>(6)</t>
  </si>
  <si>
    <t>(7)=(3)/(1)</t>
  </si>
  <si>
    <t>(8)= (3)/(2)</t>
  </si>
  <si>
    <t>Chi đầu tư phát triển cho chương trình, dự án theo nguồn vốn (*)</t>
  </si>
  <si>
    <t>Chi xây dựng cơ bản tập trung</t>
  </si>
  <si>
    <t xml:space="preserve">Ngân sách tỉnh </t>
  </si>
  <si>
    <t xml:space="preserve"> -</t>
  </si>
  <si>
    <t>Ngân sách tỉnh hỗ trợ xây dựng nông thôn mới</t>
  </si>
  <si>
    <t>Ngân sách tỉnh phân cấp cho xã</t>
  </si>
  <si>
    <t>Ngân sách tỉnh hỗ trợ đối ứng thực hiện CTMQG</t>
  </si>
  <si>
    <t>…</t>
  </si>
  <si>
    <t>Chi từ nguồn thu tiền sử dụng đất</t>
  </si>
  <si>
    <t xml:space="preserve"> Ngân sách tỉnh</t>
  </si>
  <si>
    <t>Chi đầu tư từ nguồn thu xổ số kiến thiết</t>
  </si>
  <si>
    <t>Ngân sách tỉnh</t>
  </si>
  <si>
    <t xml:space="preserve">Chi đầu tư xây dựng cơ sở hạ tầng và GPMB từ nguồn thu tiền thuê đất </t>
  </si>
  <si>
    <t>Chi đầu tư khác (Chi tiết theo từng nguồn vốn nếu có)</t>
  </si>
  <si>
    <t>5.1</t>
  </si>
  <si>
    <t xml:space="preserve"> - Hỗ trợ mua xi măng</t>
  </si>
  <si>
    <t>5.2</t>
  </si>
  <si>
    <t>Nguồn huy động, đóng góp</t>
  </si>
  <si>
    <t>Chi chương trình MTQG, chương trình mục tiêu, hỗ trợ có mục tiêu khác - Vốn đầu tư Ngân sách Trung ương (**)</t>
  </si>
  <si>
    <t>Vốn thực hiện các Chương trình MTQG</t>
  </si>
  <si>
    <t>CTMT quốc gia xây dựng nông thôn mới</t>
  </si>
  <si>
    <t>CTMTQG phát triển kinh tế - xã hội vùng đồng bào dân tộc thiểu số và miền núi</t>
  </si>
  <si>
    <t>Vốn NSTW đầu tư theo ngành, lĩnh vực, dự án trọng điểm, liên vùng</t>
  </si>
  <si>
    <t>6.3</t>
  </si>
  <si>
    <t>Vốn Chương trình Phục hồi và phát triển kinh tế xã hội</t>
  </si>
  <si>
    <t>Chi đầu tư phát triển cho chương trình, dự án theo lĩnh vực (***)</t>
  </si>
  <si>
    <t>Các nội dung khác (Chi tiết theo từng nội dung)</t>
  </si>
  <si>
    <t>Chi trả nợ lãi vay theo quy định</t>
  </si>
  <si>
    <t>Sự nghiệp Giáo dục</t>
  </si>
  <si>
    <t>Sự nghiệp Đào tạo và dạy nghề</t>
  </si>
  <si>
    <t>2.10</t>
  </si>
  <si>
    <t>Khối quản lý nhà nước</t>
  </si>
  <si>
    <t>Khối đoàn thể</t>
  </si>
  <si>
    <t>2.12</t>
  </si>
  <si>
    <t>TỔNG SỐ (A+B+C)</t>
  </si>
  <si>
    <r>
      <rPr>
        <b/>
        <i/>
        <sz val="12"/>
        <color indexed="8"/>
        <rFont val="Times New Roman"/>
        <family val="1"/>
      </rPr>
      <t>Ghi chú</t>
    </r>
    <r>
      <rPr>
        <sz val="12"/>
        <color indexed="8"/>
        <rFont val="Times New Roman"/>
        <family val="1"/>
      </rPr>
      <t>: Mục (*) = Mục (***)
                Mục (**): Số liệu khớp đúng với biểu thuyết minh các CT MTQG, mục tiêu nhiệm vụ khác (Biểu số 05a)</t>
    </r>
  </si>
  <si>
    <t xml:space="preserve">Ngày … tháng … năm … </t>
  </si>
  <si>
    <t xml:space="preserve">….., ngày … tháng … năm … </t>
  </si>
  <si>
    <t>GIÁM ĐỐC KBNN</t>
  </si>
  <si>
    <t>CƠ QUAN TÀI CHÍNH</t>
  </si>
  <si>
    <t>TM. UBND ……….</t>
  </si>
  <si>
    <t>Ghi chú:</t>
  </si>
  <si>
    <t>Đây là mẫu chung cho cấp tỉnh, huyện, xã, khi báo cáo, dùng và in các chỉ tiêu thuộc phạm vi được giao quản lý của cấp tương ứng</t>
  </si>
  <si>
    <t>- Cột (1) chỉ phản ánh những chỉ tiêu TW giao ở dòng tương ứng</t>
  </si>
  <si>
    <t>(1) - Phản ánh các khoản chi từ nguồn thu đơn vị được để lại chi theo chế độ quy định</t>
  </si>
  <si>
    <t>Biểu số 63-TT342</t>
  </si>
  <si>
    <t>Biểu số 66-TT342</t>
  </si>
  <si>
    <t>Biểu số 67-TT342</t>
  </si>
  <si>
    <t>Biểu số 68-TT342</t>
  </si>
  <si>
    <t>Biểu số 69-TT342</t>
  </si>
  <si>
    <t>Mẫu biểu số 70</t>
  </si>
  <si>
    <t>Năm 2025</t>
  </si>
  <si>
    <t>Năm báo cáo so với năm liền kề</t>
  </si>
  <si>
    <t>Giải trình</t>
  </si>
  <si>
    <t>Tỉnh</t>
  </si>
  <si>
    <t>Chi đầu tư</t>
  </si>
  <si>
    <t>xã</t>
  </si>
  <si>
    <t>Chi đầu tư phát triển thực hiện chuyển sang năm sau theo quy định của Luật đầu tư công. Trường hợp đặc biệt, Thủ tướng Chính phủ quyết định về việc cho phép chuyển nguồn sang năm sau nữa, nhưng không quá thời hạn giải ngân của dự án nằm trong kế hoạch đầu tư công trung hạn (Không bao gồm Chi Chương trình Mục tiêu Quốc gia)</t>
  </si>
  <si>
    <t>Dư tạm ứng các dự án chưa có khối lượng hoàn ứng</t>
  </si>
  <si>
    <t xml:space="preserve"> - Dự án, công trình…</t>
  </si>
  <si>
    <t xml:space="preserve"> -  …</t>
  </si>
  <si>
    <t>Các dự án được HĐND  tỉnh quyết định đối với vốn NSĐP cho phép kéo dài thời gian thực hiện theo quy định tại Điều 68 Luật Đầu tư công năm 2019</t>
  </si>
  <si>
    <t>Chi mua sắm trang thiết bị đã đầy đủ hồ sơ, hợp đồng mua sắm trang thiết bị ký bước ngày 31 tháng 12 năm thực hiện dự toán (Chi tiết theo từng nội dung)</t>
  </si>
  <si>
    <t xml:space="preserve"> - Gói thầu A</t>
  </si>
  <si>
    <t xml:space="preserve"> - Gói thầu B</t>
  </si>
  <si>
    <t>….</t>
  </si>
  <si>
    <t>Nguồn thực hiện chính sách tiền lương, phụ cấp, trợ cấp và các khoản tính theo tiền lương cơ sở, bảo trợ xã hội (Chi tiết theo từng nội dung)</t>
  </si>
  <si>
    <t>Kinh phí được giao tự chủ của các đơn vị sự nghiệp công lập và các cơ quan nhà nước; các khoản viện trợ không hoàn lại đã xác định cụ thể nhiệm vụ chi (Chi tiết theo từng nội dung)</t>
  </si>
  <si>
    <t>Các khoản dự toán được cấp có thẩm quyền bổ sung sau ngày 30 tháng 9 năm thực hiện dự toán, không bao gồm các khoản bổ sung do các đơn vị dự toán cấp trên điều chỉnh dự toán đã giao của các đơn vị dự toán trực thuộc (Chi tiết theo từng nội dung)</t>
  </si>
  <si>
    <t>Kinh phí nghiên cứu khoa học bố trí cho các đề tài, dự án nghiên cứu khoa học được cấp có thẩm quyền quyết định đang trong thời gian thực hiện (Chi tiết theo từng nội dung)</t>
  </si>
  <si>
    <t>Các khoản tăng thu, tiết kiệm chi được sử dụng theo quy định tại khoản 2 Điều 59 của Luật ngân sách nhà nước được cấp có thẩm quyền quyết định cho phép sử dụng vào năm sau (Chi tiết theo từng nội dung)</t>
  </si>
  <si>
    <t>Kinh phí khác</t>
  </si>
  <si>
    <t xml:space="preserve">Giải trình: Nêu lý do số liệu năm báo cáo tăng/giảm so với số liệu năm liền kề. Thuyết minh từng nội dung được chuyển nguồn năm 2025, trong đó thuyết minh chi tiết nguyên nhân, cơ sở đối với từng nội dung chuyển nguồn Kinh phí khác (kèm theo các văn bản có liên quan như Quyết định chuyển nguồn, văn bản chuyển nguồn của Kho bạc Nhà nước,…)
</t>
  </si>
  <si>
    <t>Biểu số 01</t>
  </si>
  <si>
    <t>Vốn Đầu tư</t>
  </si>
  <si>
    <t>Vốn thường xuyên</t>
  </si>
  <si>
    <t>Nội dung A</t>
  </si>
  <si>
    <t>…..</t>
  </si>
  <si>
    <t>TRƯỞNG PHÒNG KINH TẾ/KINH TẾ, HẠ TẦNG VÀ ĐÔ THỊ</t>
  </si>
  <si>
    <t>Biểu số 02</t>
  </si>
  <si>
    <t>Số kinh phí NS tỉnh bổ sung có mục tiêu</t>
  </si>
  <si>
    <t xml:space="preserve">Kinh phí còn lại </t>
  </si>
  <si>
    <r>
      <t xml:space="preserve">Ghi chú
</t>
    </r>
    <r>
      <rPr>
        <i/>
        <sz val="11"/>
        <rFont val="Times New Roman"/>
        <family val="1"/>
      </rPr>
      <t>(QĐ phân bổ kinh phí của UBND tỉnh; QĐ chuyển trả ngân sách tỉnh của UBND xã/phường )</t>
    </r>
  </si>
  <si>
    <t>Kinh phí</t>
  </si>
  <si>
    <t>Đã hạch toán vào lĩnh vực (2)</t>
  </si>
  <si>
    <t>Chuyển trả ngân sách tỉnh</t>
  </si>
  <si>
    <t>4=(1-2)</t>
  </si>
  <si>
    <r>
      <rPr>
        <b/>
        <i/>
        <sz val="12"/>
        <rFont val="Times New Roman"/>
        <family val="1"/>
      </rPr>
      <t>Ghi chú:</t>
    </r>
    <r>
      <rPr>
        <sz val="12"/>
        <rFont val="Times New Roman"/>
        <family val="1"/>
      </rPr>
      <t xml:space="preserve"> (1): Chi tiết theo từng nội dung bổ sung có mục tiêu (Bao gồm cả kinh phí CTMTQG, mục tiêu nhiệm vụ khác)
                (2): Nội dung chi thuộc lĩnh vực chi đầu tư/chi thường xuyên (chi sự nghiệp kinh tế, giáo dục…)</t>
    </r>
  </si>
  <si>
    <t>Biểu số 03</t>
  </si>
  <si>
    <t>Số quyết toán</t>
  </si>
  <si>
    <t>1=(2+3)</t>
  </si>
  <si>
    <t>Nội dung B</t>
  </si>
  <si>
    <t>…………</t>
  </si>
  <si>
    <t>Biểu số 04</t>
  </si>
  <si>
    <t>CHI TIẾT CHI KHÁC NGÂN SÁCH NĂM ...</t>
  </si>
  <si>
    <t>Ngân sách huyện</t>
  </si>
  <si>
    <t>1=(2+3+4)</t>
  </si>
  <si>
    <t>…………..</t>
  </si>
  <si>
    <t>Lưu ý: Số chi tiết chi khác phải khớp đúng với số chi khác của Biểu số 62 - quyết toán chi ngân sách</t>
  </si>
  <si>
    <t>Biểu số 05</t>
  </si>
  <si>
    <t>Quyết toán chi chương trình mục tiêu quốc gia, một số mục tiêu nhiệm vụ khác năm 2025</t>
  </si>
  <si>
    <t>Kinh phí chuyển nguồn năm trước sang</t>
  </si>
  <si>
    <t>Dự toán giao năm 2025</t>
  </si>
  <si>
    <t>Quyết toán năm 2025</t>
  </si>
  <si>
    <t>Số chuyển nguồn sang năm 2026</t>
  </si>
  <si>
    <t>Hoàn trả ngân sách</t>
  </si>
  <si>
    <t>Kết dư 
(nếu có)</t>
  </si>
  <si>
    <t>Căn cứ/Lý do hoàn trả</t>
  </si>
  <si>
    <t>Số dư năm 2021 kéo dài sang</t>
  </si>
  <si>
    <t>KP Chuyển nguồn năm 2022 sang</t>
  </si>
  <si>
    <t>KP Chuyển nguồn năm 2023 sang</t>
  </si>
  <si>
    <t>KP Chuyển nguồn năm 2024 sang</t>
  </si>
  <si>
    <t>Điều chỉnh tăng (+)/giảm (-)</t>
  </si>
  <si>
    <t xml:space="preserve">Số dư năm 2021 kéo dài sang </t>
  </si>
  <si>
    <t xml:space="preserve">KP Chuyển nguồn năm 2022 sang </t>
  </si>
  <si>
    <t xml:space="preserve">KP Chuyển nguồn năm 2023 sang </t>
  </si>
  <si>
    <t xml:space="preserve">KP Chuyển nguồn năm 2024 sang </t>
  </si>
  <si>
    <t>KP được giao năm 2025</t>
  </si>
  <si>
    <t>Năm 2021</t>
  </si>
  <si>
    <t>CHƯƠNG TRÌNH MTQG</t>
  </si>
  <si>
    <t>Chương trình MTQG xây dựng NTM</t>
  </si>
  <si>
    <t>Nguồn NSTW</t>
  </si>
  <si>
    <t>Nguồn Ngân sách tỉnh</t>
  </si>
  <si>
    <t>Nâng cao hiệu quả quản lý và thực hiện xây dựng nông thôn mới theo quy hoạch nhằm nâng cao đời sống kinh tế - xã hội nông thôn gắn với quá trình đô thị hóa</t>
  </si>
  <si>
    <t>Phát triển hạ tầng kinh tế - xã hội, cơ bản đồng bộ, hiện đại, đảm bảo kết nối nông thôn - đô thị và kết nối các vùng miền</t>
  </si>
  <si>
    <t>Chương trình MTQG giảm nghèo bền vững</t>
  </si>
  <si>
    <t>Chương trình MTQG phát triển KT-XH vùng đồng bào DTTS&amp;MN</t>
  </si>
  <si>
    <t>BỔ SUNG CÓ MỤC TIÊU</t>
  </si>
  <si>
    <t>Biểu số 06</t>
  </si>
  <si>
    <t>CHI TIẾT KHOẢN THU TIỀN SỬ DỤNG ĐẤT NĂM …</t>
  </si>
  <si>
    <t>Thu tiền sử dụng đất năm 2025</t>
  </si>
  <si>
    <t>Thu năm trước chuyển sang</t>
  </si>
  <si>
    <t>Thu tiền sử dụng đất được bổ sung có mục tiêu trong năm</t>
  </si>
  <si>
    <t>Chi từ nguồn thu tiền sử dụng đất năm 2025</t>
  </si>
  <si>
    <t>Phần chi cho các công trình, dự án</t>
  </si>
  <si>
    <t>Dự án, công trình B</t>
  </si>
  <si>
    <t>Ghi thu ghi chi</t>
  </si>
  <si>
    <t>GTGC giải phóng mặt bằng dự án A</t>
  </si>
  <si>
    <t>Chuyển nguồn sang 2026</t>
  </si>
  <si>
    <t>Kinh phí còn lại chưa phân bổ</t>
  </si>
  <si>
    <t>Biểu số 07</t>
  </si>
  <si>
    <t>Chi ĐT XDCB</t>
  </si>
  <si>
    <t>Chi TX</t>
  </si>
  <si>
    <t>Chi ngành giáo dục</t>
  </si>
  <si>
    <t>Chi ngành y tế</t>
  </si>
  <si>
    <t>....</t>
  </si>
  <si>
    <t>...</t>
  </si>
  <si>
    <t>Nguồn thu:</t>
  </si>
  <si>
    <t>Nguồn huy động đóng góp XDCSHT</t>
  </si>
  <si>
    <t>Chi từ nguồn huy động đóng góp XDCS hạ tầng</t>
  </si>
  <si>
    <t>Chi nội dung A</t>
  </si>
  <si>
    <t>Chi từ nguồn huy động đóng góp khác</t>
  </si>
  <si>
    <r>
      <t xml:space="preserve">DANH MỤC CÁC BIỂU MẪU TỔNG HỢP QUYẾT TOÁN NĂM 2025
</t>
    </r>
    <r>
      <rPr>
        <i/>
        <sz val="13"/>
        <rFont val="Times New Roman"/>
        <family val="1"/>
      </rPr>
      <t>(Biểu mẫu dùng cho UBND các xã/phường báo cáo)</t>
    </r>
  </si>
  <si>
    <t>Mẫu biểu</t>
  </si>
  <si>
    <t>Biểu mẫu số 48 đến biểu số 64 kèm theo Nghị định 31/2017/NĐ-CP ngày 23/3/2017 của Chính phủ</t>
  </si>
  <si>
    <t>Biểu mẫu số 60 đến biểu số 70 kèm theo Thông tư 342/2016/TT-BTC ngày 30/12/2016 của Bộ Tài chính</t>
  </si>
  <si>
    <t>Mẫu biểu số 60</t>
  </si>
  <si>
    <t>Cân đối quyết toán ngân sách địa phương năm ...</t>
  </si>
  <si>
    <t>Mẫu biểu số 61</t>
  </si>
  <si>
    <t>Quyết toán thu NSNN, vay NSĐP năm ...</t>
  </si>
  <si>
    <t>Mẫu biểu số 62</t>
  </si>
  <si>
    <t>Quyết toán chi ngân sách địa phương năm ...</t>
  </si>
  <si>
    <t>Đề nghị chi tiết vốn đầu tư NSTW, NS tỉnh, NS xã theo biểu mẫu đính kèm</t>
  </si>
  <si>
    <t>Mẫu biểu số 63</t>
  </si>
  <si>
    <t>Quyết toán thu NSNN, vay NSĐP theo mục lục NSNN năm ...</t>
  </si>
  <si>
    <t>Mẫu biểu số 64</t>
  </si>
  <si>
    <t>Quyết toán chi, trả nợ NSĐP theo mục lục NSNN năm ...</t>
  </si>
  <si>
    <t>Mẫu biểu số 65</t>
  </si>
  <si>
    <t>Quyết toán chi chương trình mục tiêu theo mục lục NSNN năm ...</t>
  </si>
  <si>
    <t>Mẫu biểu số 66</t>
  </si>
  <si>
    <t>Thuyết minh tăng, giảm chi quản lý hành chính, đảng, đoàn thể năm ...</t>
  </si>
  <si>
    <t>Mẫu biểu số 67</t>
  </si>
  <si>
    <t>Thuyết minh chi khắc phục hậu quả thiên tai năm ...</t>
  </si>
  <si>
    <t>Mẫu biểu số 68</t>
  </si>
  <si>
    <t>Thuyết minh tình hình sử dụng nguồn dự phòng, tăng thu ngân sách năm ...</t>
  </si>
  <si>
    <t>Mẫu biểu số 69</t>
  </si>
  <si>
    <t>Báo cáo tình hình kiểm toán, thanh tra năm ...</t>
  </si>
  <si>
    <t>Báo cáo chi chuyển nguồn sang năm sau năm ...</t>
  </si>
  <si>
    <t>Đề nghị giải trình, thuyết minh chi tiết nguyên nhân, cơ sở theo biểu mẫu đính kèm</t>
  </si>
  <si>
    <t>Các mẫu biểu thuyết minh chi tiết</t>
  </si>
  <si>
    <t>Báo cáo chi tiết kết dư ngân sách</t>
  </si>
  <si>
    <t>Báo cáo tình hình sử dụng nguồn bổ sung có mục tiêu từ ngân sách tỉnh</t>
  </si>
  <si>
    <t>Báo cáo chi tiết thu khác ngân sách</t>
  </si>
  <si>
    <t>Báo cáo chi tiết chi khác ngân sách</t>
  </si>
  <si>
    <t>Quyết toán chi chương trình MTQG, một số chương trình mục tiêu nhiệm vụ khác</t>
  </si>
  <si>
    <t>Thuyết minh chi tiết căn cứ/lý do hoàn trả ngân sách của từng chương trình/dự án</t>
  </si>
  <si>
    <t>Chi tiết khoản thu tiền sử dụng đất năm ...</t>
  </si>
  <si>
    <t>Quyết toán thu chi từ nguồn thu để lại quản lý qua NSNN</t>
  </si>
  <si>
    <t>(Kèm theo Công văn số  1779 /STC-TH&amp;QLNS  ngày   03  tháng  3 năm 2026 của Sở Tài chính Thái Nguyên)</t>
  </si>
  <si>
    <t>UBND PHƯỜNG BẮC KẠN</t>
  </si>
  <si>
    <t>Đơn vị: Nghìn đồng</t>
  </si>
  <si>
    <t>KHO BẠC NHÀ NƯỚC 2260-KBNN Thái Nguyên</t>
  </si>
  <si>
    <t>Mẫu số B2-01/NS-Tabmis</t>
  </si>
  <si>
    <t>(QĐ…./QĐ-BTC ngày ….)</t>
  </si>
  <si>
    <t>BÁO CÁO THU VÀ VAY CỦA NGÂN SÁCH NHÀ NƯỚC NIÊN ĐỘ 2025</t>
  </si>
  <si>
    <t>Từ ngày hiệu lực: 01/01/2025 Đến ngày hiệu lực: 31/12/2025 Địa bàn: 01843-Phường Bắc Kạn</t>
  </si>
  <si>
    <t>Chỉ tiêu</t>
  </si>
  <si>
    <t>Thực hiện trong kỳ</t>
  </si>
  <si>
    <t>Lũy kế thực hiện từ đầu năm</t>
  </si>
  <si>
    <t>NSĐP</t>
  </si>
  <si>
    <t>3=4+5+6</t>
  </si>
  <si>
    <t>9=10+11+12</t>
  </si>
  <si>
    <t>TỔNG SỐ (Đã loại trừ hoàn thuế)</t>
  </si>
  <si>
    <t>Tr.đó: Thu NSNN (Đã loại trừ hoàn thuế)</t>
  </si>
  <si>
    <t>Thu nội địa không kể dầu thô</t>
  </si>
  <si>
    <t>Thu từ khu vực doanh nghiệp do Nhà nước giữ vai trò chủ đạo</t>
  </si>
  <si>
    <t>Thu từ khu vực doanh nghiệp do Nhà nước giữ vai trò chủ đạo Trung ương quản lý</t>
  </si>
  <si>
    <t>1.1.1</t>
  </si>
  <si>
    <t>Thuế giá trị gia tăng hàng sản xuất - kinh doanh trong nước</t>
  </si>
  <si>
    <t>Tr.đó: Từ hoạt động thăm dò và khai thác dầu, khí (gồm cả thuế giá trị gia tăng thu đối với dầu, khí khai thác theo hiệp định, hợp đồng thăm dò, khai thác dầu, khí bán ra trong nước)</t>
  </si>
  <si>
    <t>1.1.2</t>
  </si>
  <si>
    <t>Thuế tiêu thụ đặc biệt hàng sản xuất - kinh doanh trong nước</t>
  </si>
  <si>
    <t>Tr.đó: Thuế tiêu thụ đặc biệt hàng nhập khẩu bán ra trong nước</t>
  </si>
  <si>
    <t>1.1.3</t>
  </si>
  <si>
    <t>Tr.đó: Từ hoạt động thăm dò và khai thác dầu, khí (không kể thuế TNDN thu theo hiệp định, hợp đồng)</t>
  </si>
  <si>
    <t>1.1.4</t>
  </si>
  <si>
    <t>Tr.đó: - Tài nguyên dầu, khí (không bao gồm thuế tài nguyên khai thác dầu, khí theo hiệp định, hợp đồng)</t>
  </si>
  <si>
    <t>- Tài nguyên nước thủy điện</t>
  </si>
  <si>
    <t>1.1.5</t>
  </si>
  <si>
    <t>Thu từ khí thiên nhiên, khí than theo hiệp định, hợp đồng</t>
  </si>
  <si>
    <t>Thu từ khu vực doanh nghiệp do Nhà nước giữ vai trò chủ đạo địa phương quản lý</t>
  </si>
  <si>
    <t>1.2.1</t>
  </si>
  <si>
    <t>1.2.2</t>
  </si>
  <si>
    <t>1.2.3</t>
  </si>
  <si>
    <t>Tr.đó: Từ hoạt động thăm dò và khai thác dầu, khí (không kể thuế TNDN thu theo hiệp định, hợp đồng).</t>
  </si>
  <si>
    <t>1.2.4</t>
  </si>
  <si>
    <t>1.2.5</t>
  </si>
  <si>
    <t>Thu từ khu vực doanh nghiệp có vốn đầu tư nước ngoài</t>
  </si>
  <si>
    <t>Thu từ khí thiên nhiên và khí than theo hiệp định, hợp đồng</t>
  </si>
  <si>
    <t>Thu từ khu vực kinh tế ngoài quốc doanh</t>
  </si>
  <si>
    <t>3.3</t>
  </si>
  <si>
    <t>3.4</t>
  </si>
  <si>
    <t>3.5</t>
  </si>
  <si>
    <t>Thuế bảo vệ môi trường do cơ quan thuế thực hiện</t>
  </si>
  <si>
    <t>Trong đó: - Từ hàng nhập khẩu bán ra trong nước</t>
  </si>
  <si>
    <t>- Từ hàng hóa sản xuất trong nước</t>
  </si>
  <si>
    <t>Các loại phí, lệ phí</t>
  </si>
  <si>
    <t>Trong đó: - Phí thuộc lĩnh vực đường bộ</t>
  </si>
  <si>
    <t>- Phí thuộc lĩnh vực đường biển</t>
  </si>
  <si>
    <t>- Phí BVMT đối với khai thác khoáng sản</t>
  </si>
  <si>
    <t>- Phí Tham quan</t>
  </si>
  <si>
    <t>- Phí sử dụng công trình kết cấu hạ tầng, công trình dịch vụ, tiện ích công cộng trong lĩnh vực cửa khẩu</t>
  </si>
  <si>
    <t>0</t>
  </si>
  <si>
    <t>7.1</t>
  </si>
  <si>
    <t>Thu phí, lệ phí trung ương</t>
  </si>
  <si>
    <t>7.2</t>
  </si>
  <si>
    <t>Thu phí, lệ phí tỉnh</t>
  </si>
  <si>
    <t>7.3</t>
  </si>
  <si>
    <t>Thu phí, lệ phí huyện</t>
  </si>
  <si>
    <t>7.4</t>
  </si>
  <si>
    <t>Thu phí, lệ phí xã</t>
  </si>
  <si>
    <t>Các khoản thu về nhà, đất</t>
  </si>
  <si>
    <t>8.1</t>
  </si>
  <si>
    <t>8.2</t>
  </si>
  <si>
    <t>8.3</t>
  </si>
  <si>
    <t>Thu tiền cho thuê đất, thuê mặt nước</t>
  </si>
  <si>
    <t>Tr.đó: Thu từ hoạt động thăm dò và khai thác dầu, khí</t>
  </si>
  <si>
    <t>Tiền thuê đất GTGC theo khoản đã ứng bồi thường, giải phóng mặt bằng theo quy định của pháp luật</t>
  </si>
  <si>
    <t>8.4</t>
  </si>
  <si>
    <t>Tr.đó: Tiền chuyển mục đích sử dụng đất đối với đất do cơ quan, đơn vị, tổ chức thuộc Nhà nước quản lý</t>
  </si>
  <si>
    <t>8.5</t>
  </si>
  <si>
    <t>Thu tiền cho thuê và bán nhà ở thuộc sở hữu nhà nước</t>
  </si>
  <si>
    <t>Thu từ hoạt động xổ số kiến thiết</t>
  </si>
  <si>
    <t>9.1</t>
  </si>
  <si>
    <t>9.2</t>
  </si>
  <si>
    <t>9.3</t>
  </si>
  <si>
    <t>Thu từ thu nhập sau thuế</t>
  </si>
  <si>
    <t>9.4</t>
  </si>
  <si>
    <t>9.5</t>
  </si>
  <si>
    <t>Thu khác</t>
  </si>
  <si>
    <t>Thu tiền cấp quyền khai thác khoáng sản, vùng trời, vùng biển</t>
  </si>
  <si>
    <t>10.1</t>
  </si>
  <si>
    <t>Thu tiền cấp quyền khai thác khoáng sản</t>
  </si>
  <si>
    <t>Tr.đó: - Thu từ giấy phép do cơ quan Trung ương cấp</t>
  </si>
  <si>
    <t>- Thu từ giấy phép do Ủy ban nhân dân cấp tỉnh</t>
  </si>
  <si>
    <t>cấp</t>
  </si>
  <si>
    <t>10.2</t>
  </si>
  <si>
    <t>Thu tiền cấp quyền khai thác vùng biển</t>
  </si>
  <si>
    <t>10.3</t>
  </si>
  <si>
    <t>Thu tiền cấp quyền khai thác tài nguyên khác còn lại</t>
  </si>
  <si>
    <t>11.1</t>
  </si>
  <si>
    <t>Thu chênh lệch tỷ giá ngoại tệ</t>
  </si>
  <si>
    <t>11.2</t>
  </si>
  <si>
    <t>Thu tiền phạt</t>
  </si>
  <si>
    <t>Trong đó: - Phạt vi phạm hành chính trong lĩnh vực an toàn giao thông</t>
  </si>
  <si>
    <t>- Phạt vi phạm hành chính do ngành thuế thực</t>
  </si>
  <si>
    <t>hiện</t>
  </si>
  <si>
    <t>11.3</t>
  </si>
  <si>
    <t>Thu tịch thu</t>
  </si>
  <si>
    <t>Tr.đó: Tịch thu chống lậu</t>
  </si>
  <si>
    <t>11.4</t>
  </si>
  <si>
    <t>Thu hồi các khoản chi năm trước</t>
  </si>
  <si>
    <t>11.5</t>
  </si>
  <si>
    <t>Thu tiền bán hàng hóa, vật tư dự trữ</t>
  </si>
  <si>
    <t>11.6</t>
  </si>
  <si>
    <t>Thu tiền cho thuê, bán tài sản khác</t>
  </si>
  <si>
    <t>11.7</t>
  </si>
  <si>
    <t>Lãi thu từ các khoản tham gia góp vốn của nhà nước</t>
  </si>
  <si>
    <t>11.8</t>
  </si>
  <si>
    <t>Thu khác còn lại</t>
  </si>
  <si>
    <t>Tr.đó: Thu tiền bảo vệ và phát triển đất trồng lúa</t>
  </si>
  <si>
    <t>Thu từ quỹ đất công ích và thu hoa lợi công sản khác</t>
  </si>
  <si>
    <t>Tr.đó: Tiền đền bù thiệt hại khi NN thu hồi đất công</t>
  </si>
  <si>
    <t>Thu hồi vốn, lợi nhuận, lợi nhuận sau thuế, chênh lệch thu chi của NHNN</t>
  </si>
  <si>
    <t>Tr.đó: - Thu từ doanh nghiệp do Trung ương quản lý</t>
  </si>
  <si>
    <t>- Thu từ doanh nghiệp do địa phương quản lý</t>
  </si>
  <si>
    <t>13.1</t>
  </si>
  <si>
    <t>Thu hồi vốn của Nhà nước tại các tổ chức kinh tế</t>
  </si>
  <si>
    <t>13.2</t>
  </si>
  <si>
    <t>Thu cổ tức</t>
  </si>
  <si>
    <t>13.3</t>
  </si>
  <si>
    <t>Lợi nhuận được chia từ phần vốn nhà nước đầu tư tại doanh nghiệp</t>
  </si>
  <si>
    <t>13.4</t>
  </si>
  <si>
    <t>Lợi nhuận sau thuế còn lại sau khi trích lập các quỹ</t>
  </si>
  <si>
    <t>Tr.đó: - Lợi nhuận còn lại của các DN do các Bộ, ngành Trung ương quản lý</t>
  </si>
  <si>
    <t>- Lợi nhuận còn lại của các DN do địa phương quản</t>
  </si>
  <si>
    <t>lý</t>
  </si>
  <si>
    <t>13.5</t>
  </si>
  <si>
    <t>Chênh lệch thu, chi của Ngân hàng Nhà nước</t>
  </si>
  <si>
    <t>Thu về dầu thô theo hiệp định, hợp đồng</t>
  </si>
  <si>
    <t>Lợi nhuận sau thuế được chia của Chính phủ Việt Nam</t>
  </si>
  <si>
    <t>Dầu lãi được chia của Chính phủ Việt Nam</t>
  </si>
  <si>
    <t>Thuế đặc biệt</t>
  </si>
  <si>
    <t>Phụ thu về dầu</t>
  </si>
  <si>
    <t>Thu chênh lệch giá dầu</t>
  </si>
  <si>
    <t>Khác</t>
  </si>
  <si>
    <t>Thu về Condensate theo hiệp định, hợp đồng</t>
  </si>
  <si>
    <t>Lãi được chia của Chính phủ Việt Nam</t>
  </si>
  <si>
    <t>Phụ thu về condensate</t>
  </si>
  <si>
    <t>Thu chênh lệch giá condensate</t>
  </si>
  <si>
    <t>Thu cân đối từ hoạt động xuất nhập khẩu</t>
  </si>
  <si>
    <t>Tổng thu từ hoạt động XNK</t>
  </si>
  <si>
    <t>Thuế xuất khẩu</t>
  </si>
  <si>
    <t>Thuế nhập khẩu</t>
  </si>
  <si>
    <t>Thuế tiêu thụ đặc biệt hàng nhập khẩu</t>
  </si>
  <si>
    <t>Thuế giá trị gia tăng hàng nhập khẩu</t>
  </si>
  <si>
    <t>Thuế bổ sung đối với hàng hoá nhập khẩu vào Việt Nam</t>
  </si>
  <si>
    <t>Tr.đó: - Thuế chống bán phá giá</t>
  </si>
  <si>
    <t>- Thuế chống trợ cấp</t>
  </si>
  <si>
    <t>- Thuế chống phân biệt đối xử</t>
  </si>
  <si>
    <t>- Thuế tự vệ</t>
  </si>
  <si>
    <t>Thuế bảo vệ môi trường hàng nhập khẩu</t>
  </si>
  <si>
    <t>Hoàn thuế GTGT</t>
  </si>
  <si>
    <t>Thu Viện trợ</t>
  </si>
  <si>
    <t>Các khoản huy động đóng góp xây dựng cơ sở hạ tầng</t>
  </si>
  <si>
    <t>Các khoản huy động đóng góp khác</t>
  </si>
  <si>
    <t>Thu hồi các khoản cho vay của Nhà nước và thu từ quỹ dự trữ tài chính</t>
  </si>
  <si>
    <t>Thu từ các khoản cho vay của nhà nước</t>
  </si>
  <si>
    <t>Thu nợ gốc cho vay</t>
  </si>
  <si>
    <t>Thu lãi cho vay</t>
  </si>
  <si>
    <t>Thu từ quỹ dự trữ tài chính</t>
  </si>
  <si>
    <t>VII</t>
  </si>
  <si>
    <t>Tạm thu ngân sách</t>
  </si>
  <si>
    <t>VIII</t>
  </si>
  <si>
    <t>Các khoản thu không có trong công thức</t>
  </si>
  <si>
    <t>Trong đó: Các khoản thu có cấp ngân sách là 0</t>
  </si>
  <si>
    <t>VAY CỦA NGÂN SÁCH NHÀ NƯỚC</t>
  </si>
  <si>
    <t>Vay trong nước</t>
  </si>
  <si>
    <t>Tr.đó: Địa phương vay từ nguồn cho vay lại của Chính phủ</t>
  </si>
  <si>
    <t>Vay ngoài nước</t>
  </si>
  <si>
    <t>Tạm vay của NSNN</t>
  </si>
  <si>
    <t>Tạm ứng từ Ngân hàng Nhà nước theo Lệnh của Chính phủ</t>
  </si>
  <si>
    <t>Tạm vay khác</t>
  </si>
  <si>
    <t>Bổ sung có mục tiêu bằng nguồn vốn trong nước</t>
  </si>
  <si>
    <t>Thu hỗ trợ từ địa phương khác</t>
  </si>
  <si>
    <t>Các khoản thu chưa có trong công thức</t>
  </si>
  <si>
    <t>Thu chuyển nguồn</t>
  </si>
  <si>
    <t>Thu kết dư ngân sách</t>
  </si>
  <si>
    <t>0, ngày 06 tháng 03 năm 2026</t>
  </si>
  <si>
    <t>Người Lập Biểu</t>
  </si>
  <si>
    <t>Kế toán trưởng</t>
  </si>
  <si>
    <t>Giám đốc</t>
  </si>
  <si>
    <t>QUYẾT TOÁN THU NSNN, VAY NSĐP NĂM 2025</t>
  </si>
  <si>
    <t>PHÒNG GIAO DỊCH SỐ 4  KBNN KHU VỰC VII</t>
  </si>
  <si>
    <t xml:space="preserve">Q.TRƯỞNG PHÒNG </t>
  </si>
  <si>
    <t>TM. UBND PHƯỜNG BẮC KẠN</t>
  </si>
  <si>
    <t>Đinh Huy Hoàng</t>
  </si>
  <si>
    <t>TỔNG HỢP THU PHÍ, LỆ PHÍ, HỌC PHÍ CỦA CÁC ĐƠN VỊ NĂM 2025</t>
  </si>
  <si>
    <t>TỔNG HỢP CÁC QUỸ TÀI CHÍNH NHÀ NƯỚC NGOÀI NGÂN SÁCH DO ĐỊA PHƯƠNG QUẢN LÝ NĂM 2025</t>
  </si>
  <si>
    <t>QUYẾT TOÁN CHI BỔ SUNG TỪ NGÂN SÁCH CẤP HUYỆN CHO NGÂN SÁCH TỪNG XÃ NĂM 2025</t>
  </si>
  <si>
    <t>Thống kê cơ sở Bắc Kạn</t>
  </si>
  <si>
    <t xml:space="preserve">Trung tâm y tế </t>
  </si>
  <si>
    <t>Đảng ủy phường Bắc Kạn</t>
  </si>
  <si>
    <t>Trung tâm chính trị</t>
  </si>
  <si>
    <t>Uỷ ban Mặt trận tổ quốc và các hội đoàn thể</t>
  </si>
  <si>
    <t>Dự toán năm 2025</t>
  </si>
  <si>
    <r>
      <t xml:space="preserve">QUYẾT TOÁN CÂN ĐỐI NGUỒN THU, CHI NGÂN SÁCH </t>
    </r>
    <r>
      <rPr>
        <b/>
        <sz val="12"/>
        <color rgb="FFFF0000"/>
        <rFont val="Times New Roman"/>
        <family val="1"/>
      </rPr>
      <t xml:space="preserve">CẤP HUYỆN </t>
    </r>
    <r>
      <rPr>
        <b/>
        <sz val="12"/>
        <rFont val="Times New Roman"/>
        <family val="1"/>
      </rPr>
      <t>VÀ NGÂN SÁCH CẤP XÃ NĂM 2025</t>
    </r>
  </si>
  <si>
    <t>QUYẾT TOÁN NGUỒN THU NGÂN SÁCH NHÀ NƯỚC TRÊN ĐỊA BÀN THEO LĨNH VỰC NĂM 2025</t>
  </si>
  <si>
    <t xml:space="preserve">2025 Tỉnh k điều tiết </t>
  </si>
  <si>
    <t>Vi Văn Thuấn</t>
  </si>
  <si>
    <t>Không nhập</t>
  </si>
  <si>
    <t>Chi hỗ trợ các địa phương khác</t>
  </si>
  <si>
    <t>Trong đó: Chia theo lĩnh vực</t>
  </si>
  <si>
    <t>Chi đầu tư từ nguồn thu tiền sử dụng đất</t>
  </si>
  <si>
    <t>Trung tâm dịch vụ tổng hợp</t>
  </si>
  <si>
    <t xml:space="preserve">Dự án 2. Đa dạng hóa sinh kế, phát triển mô hình giảm nghèo </t>
  </si>
  <si>
    <t>Năm 2024 chuyển sang năm 2025</t>
  </si>
  <si>
    <t>Dự án 4. Phát triển giáo dục nghề nghiệp, việc làm bền vững</t>
  </si>
  <si>
    <t>Dự án 6. Truyền thông và giảm nghèo về thông tin</t>
  </si>
  <si>
    <t>Dự án 7. Nâng cao năng lực và giám sát, đánh giá Chương trình</t>
  </si>
  <si>
    <t>Kinh phí thực hiện chương trình phát triển lâm nghiệp bền vững</t>
  </si>
  <si>
    <t>Kinh phí bảo trì đường bộ</t>
  </si>
  <si>
    <t>Kinh phí từ nguồn thu tiền sử dụng đất năm 2025 cho các địa phương thực hiện nhiệm vụ</t>
  </si>
  <si>
    <t xml:space="preserve"> Kinh phí cho các đơn vị, địa phương để thực hiện các chế độ, chính sách an sinh xã hội tăng thêm năm 2025 do ngân sách địa phương đảm bảo</t>
  </si>
  <si>
    <t>Kinh phí cho các đơn vị, địa phương thực hiện các chế độ, chính sách an sinh xã hội tăng thêm năm 2025 do Trung ương đảm bảo</t>
  </si>
  <si>
    <t>Kinh phí từ nguồn ngân sách Trung ương cho các xã, phường phía Bắc tỉnh Thái Nguyên để thực hiện nhiệm vụ quy hoạch, chỉnh lý, lưu trữ, số hóa tài liệu, mua sắm trang thiết bị, phương tiện làm việc</t>
  </si>
  <si>
    <t>Kinh phí cho các đơn vị, địa phương để thực hiện tặng quà của Đảng, Nhà nước nhân dịp chào mừng Đại hổi đại biểu toàn quốc lần thứ XIV của Đảng và Tết Nguyên đán Bính Ngọ năm 2026 theo Nghị quyết số 418/ND-CP ngày 28/12/2025 của Chính phủ</t>
  </si>
  <si>
    <t>Kinh phí cho các đơn vị, địa phương để thực hiện chính sách, chế độ theo Nghị quyết số 07/2025/NQ-CP ngày 17/9/2025 của Chính phủ và Nghị quyết số 25/2025/NQ-HĐND ngày 28/10/2025 của HĐND tỉnh Thái Nguyên</t>
  </si>
  <si>
    <t>Kinh phí cho các địa phương để thực hiện chính sách, chế độ Nghị định số 154/2025/NĐ-CP ngày 15/6/2025 của Chính phủ (đợt 3).</t>
  </si>
  <si>
    <t>Kinh phí cho các đơn vị, địa phương để khắc phục hậu quả do mưa lũ gây ra (đợt 2)</t>
  </si>
  <si>
    <t>Kinh phí cho các cơ quan, đơn vị, địa phương (đợt 7) và bổ sung kinh phí cho các đối tượng đã được phê duyệt để thực hiện chính sách, chế độ theo Nghị định số 178/2024/NĐ-CP ngày 31/12/2024 và Nghị định số 67/2025/NĐ-CP ngày 15/3/2025 của Chính phủ</t>
  </si>
  <si>
    <t>Knh phí cho các cơ quan, đơn vị, địa phương để thực hiện các chế độ, chính sách cho các đối tượng đã được phê duyệt trước khi sắp xếp đơn vị hành chính</t>
  </si>
  <si>
    <t>Kinh phí cho các cơ quan, đơn vị, địa phương để thực hiện chính sách, chế độ theo Nghị định số 178/2024/NĐ-CP ngày 31/12/2024 và Nghị định số 67/2025/NĐ-CP ngày 15/3/2025 của Chính phủ (đợt 6)</t>
  </si>
  <si>
    <t>Kinh phí cho các cơ quan, đơn vị, địa phương để thực hiện chính sách, chế độ theo Nghị định số 178/2024/NĐ-CP ngày 31/12/2024 và Nghị định số 67/2025/NĐ-CP ngày 15/3/2025 của Chính phủ (đợt 5);</t>
  </si>
  <si>
    <t>Kinh phí cho các địa phương để thực hiện tặng quà cho nhân dân nhân dịp kỷ niệm 80 năm Cách mạng tháng Tám và Quốc khánh 02/9</t>
  </si>
  <si>
    <t>Kinh phí cho một số địa phương để tổ chức Chương trình nghệ thuật chào mừng 80 năm Cách mạng tháng Tám thành công và Quốc khánh nước Cộng hòa xã hội chủ nghĩa Việt Nam</t>
  </si>
  <si>
    <t>Kinh phí cho các cơ quan, đơn vị, địa phương để thực hiện chính sách, chế độ theo Nghị định số 178/2024/NĐ-CP ngày 31/12/2024 và Nghị định số 67/2025/NĐ-CP ngày 15/3/2025 của Chính phủ (đợt 3)</t>
  </si>
  <si>
    <t>Kinh phí thực hiện nhiệm vụ (thực hiện sắp xếp đơn vị hành chính cấp xã theo Nghị quyết số 76/2025/UBTVQH15 ngày 14/4/2025 
của Ủy ban Thường vụ Quốc hội)</t>
  </si>
  <si>
    <t>Kinh phí cho một số đơn vị, địa phương thực hiện tổ chức các hoạt động Tết Trung thu</t>
  </si>
  <si>
    <t xml:space="preserve">Kinh phí cho các cơ quan, đơn vị, địa phương để thực hiện các nhiệm vụ đã được phê duyệt trước khi sắp sếp đơn vị hành chính (thực hiện khắc phục sạt lở do ảnh hưởng của cơn bão số 3 và thiên tai năm 2024) </t>
  </si>
  <si>
    <t>Nội dung thành phần số 03: Tiếp tục thực hiện có hiệu quả cơ cấu lại ngành nông nghiệp, phát triển kinh tế nông thôn; triển khai mạnh mẽ Chương trình mỗi xã một sản phẩm (OCOP) nhằm nâng cao giá trị gia tăng, phù hợp với quá trình chuyển đổi số, thích ứng với biến đổi khí hậu; phát triển mạnh ngành nghề nông thôn; phát triển du lịch nông thôn; nâng cao hiệu quả hoạt động của các hợp tác xã; hỗ trợ các doanh nghiệp khởi nghiệp ở nông thôn; nâng cao chất lượng đào tạo nghề cho lao động nông thôn... góp phần nâng cao thu nhập người dân theo hướng bền vững</t>
  </si>
  <si>
    <t>Nội dung thành phần số 06: Nâng cao chất lượng đời sống văn hóa nông thôn; bảo tồn và phát huy các giá trị văn hóa truyền thống gắn với phát triển du lịch nông thôncảnh quan nông thôn sáng - xanh - sạch - đẹp, an toàn; giữ gìn và khôi phục cảnh quan truyền thống của nông thôn Việt Nam</t>
  </si>
  <si>
    <t>Nội dung thành phần số 11: Tăng cường công tác giám sát, đánh giá thực hiện chương trình; Nâng cao năng lực, truyền thông xây dựng nông thôn mới; thực hiện phong trào thi đua cả nước chung sức xây dựng nông thôn mới</t>
  </si>
  <si>
    <t>2.2.1</t>
  </si>
  <si>
    <t>2.2.3</t>
  </si>
  <si>
    <t>Dự án 5: Phát triển giáo dục đào tạo nâng cao chất lượng nguồn nhân lực</t>
  </si>
  <si>
    <t>Dự án 6: Bảo tồn, phát huy giá trị văn hóa truyền thống tốt đẹp của các dân tộc thiểu số gắn với phát triển du lịch</t>
  </si>
  <si>
    <t>Dự án 8: Thực hiện bình đẳng giới và giải quyết những vấn đề cấp thiết đối với phụ nữ và trẻ em</t>
  </si>
  <si>
    <t>Dự án 10: Truyền thông, tuyên truyền, vận động trong vùng đồng bào dân tộc thiểu số và miền núi. Kiểm tra, giám sát đánh giá việc tổ chức thực hiện Chương trình</t>
  </si>
  <si>
    <t>3.2.1</t>
  </si>
  <si>
    <t>3.2.2</t>
  </si>
  <si>
    <t>3.2.3</t>
  </si>
  <si>
    <t>3.2.4</t>
  </si>
  <si>
    <t>3.2.5</t>
  </si>
  <si>
    <t>Dự án 9: Đầu tư phát triển nhóm dân tộc thiểu số rất ít người và nhóm dân tộc còn nhiều khó khăn</t>
  </si>
  <si>
    <t>Dự án 3. Hỗ trợ phát triển sản xuất</t>
  </si>
  <si>
    <t>2.23</t>
  </si>
  <si>
    <t>2.24</t>
  </si>
  <si>
    <t>2.25</t>
  </si>
  <si>
    <t>2.26</t>
  </si>
  <si>
    <t>Kinh phí cho các địa phương để thực hiện nhiệm vụ đã được phê duyệt trước khi sắp xếp đơn vị hành chính</t>
  </si>
  <si>
    <t>ĐẦU TƯ CÔNG XÂY DỰNG CƠ BẢN</t>
  </si>
  <si>
    <t>CÁC DỰ ÁN THUỘC KẾ HOẠCH NĂM 2025</t>
  </si>
  <si>
    <t>I.1</t>
  </si>
  <si>
    <t>NGUỒN  VỐN NGÂN SÁCH ĐỊA PHƯƠNG (PHÂN CẤP PHƯỜNG ĐIỀU HÀNH)</t>
  </si>
  <si>
    <t>Cải tạo, nâng cấp Trường TH &amp; THCS Nông Thượng, thành phố Bắc Kạn</t>
  </si>
  <si>
    <t>Lát gạch vỉa hè đường Trường Chinh (phần còn lại)</t>
  </si>
  <si>
    <t>2581/QĐ-UBND ngày 01/12/2022; 1165/QĐ-UBND ngày 26/4/2024</t>
  </si>
  <si>
    <t>1395/QĐ-UBND ngày 24/5/2024</t>
  </si>
  <si>
    <t>I.2</t>
  </si>
  <si>
    <t>NGUỒN THU SỬ DỤNG ĐẤT</t>
  </si>
  <si>
    <t>1</t>
  </si>
  <si>
    <t>2</t>
  </si>
  <si>
    <t>3045/QĐ-UBND ngày 3/12/2024; 57/QĐ-UBND ngày 20/01/2026</t>
  </si>
  <si>
    <t>3</t>
  </si>
  <si>
    <t>CÁC DỰ ÁN NĂM 2024 KÉO DÀI THỜI GIAN THỰC HIỆN VÀ GIẢI NGÂN SANG NĂM 2025</t>
  </si>
  <si>
    <t>II.1</t>
  </si>
  <si>
    <t>3621/QĐ-UBND ngày 31/12/2024</t>
  </si>
  <si>
    <t xml:space="preserve">3030/QĐ-UBND ngày 03/12/2021 </t>
  </si>
  <si>
    <t xml:space="preserve">Lắp đặt khung trang trí bằng đèn LED tại đường Thái Nguyên, Trường Chinh và đường Chiến Thắng Phủ Thông, thành phố Bắc Kạn </t>
  </si>
  <si>
    <t>1026/QĐ-UBND ngày 27/5/2022; 2210/QĐ-UBND ngày 07/8/2023</t>
  </si>
  <si>
    <t>II.2</t>
  </si>
  <si>
    <t xml:space="preserve">CÁC DỰ ÁN KHÔNG CÒN DƯ VỐN TẠM ỨNG CHƯA THU HỒI TỪ CÁC NĂM TRƯỚC CHUYỂN SANG NĂM QUYẾT TOÁN </t>
  </si>
  <si>
    <t>III.1</t>
  </si>
  <si>
    <t>NGUỒN PHÂN CẤP PHƯỜNG ĐIỀU HÀNH</t>
  </si>
  <si>
    <t>III.2</t>
  </si>
  <si>
    <t xml:space="preserve"> Xây dựng các hạng mục còn lại khu đô thị phía Nam, thành phố Bắc Kạn</t>
  </si>
  <si>
    <t>CHI ĐẦU TƯ PHÁT TRIỂN KHÁC</t>
  </si>
  <si>
    <t>Công tác giải phóng mặt bằng Dự án Đầu tư xây dựng hạ tầng kỹ thuật khu dân cư tổ Xây Dựng và tổ Pá Danh phường Huyền Tụng TP Bắc Kạn</t>
  </si>
  <si>
    <t>QĐ 279/QĐ-UBND ngày 22/2/2023</t>
  </si>
  <si>
    <t>QUYẾT TOÁN CHI CHƯƠNG TRÌNH MỤC TIÊU QUỐC GIA NĂM 2025</t>
  </si>
  <si>
    <t>QUYẾT TOÁN VỐN ĐẦU TƯ CÁC CHƯƠNG TRÌNH, DỰ ÁN SỬ DỤNG VỐN NGÂN SÁCH NHÀ NƯỚC NĂM 2025</t>
  </si>
  <si>
    <t>QUYẾT TOÁN VỐN ĐẦU TƯ CÁC CHƯƠNG TRÌNH, DỰ ÁN SỬ DỤNG VỐN CTMTQG NĂM 2025</t>
  </si>
  <si>
    <t xml:space="preserve">Nguồn vốn ngân sách TW </t>
  </si>
  <si>
    <t>Xây dựng đường nội thôn Khuổi Chang (tuyến từ nhà ông Nàm đến nhà ông Báo)</t>
  </si>
  <si>
    <t>Xây dựng đường nội thôn Nà Quáng - Nà Kéo, thôn Nà Chuông, xã Nông Thượng</t>
  </si>
  <si>
    <t>33/QĐ-UBND ngày 28/02/2024</t>
  </si>
  <si>
    <t>Xây dựng đường nội thôn Khuổi Chang (tuyến từ nhà ông Cường đến nhà ông Hoạt)</t>
  </si>
  <si>
    <t>34/QĐ-UBND ngày 28/02/2025</t>
  </si>
  <si>
    <t>Xây dựng rãnh thoát nước Tân Thành - Khuổi Chang</t>
  </si>
  <si>
    <t>37/QĐ-UBND ngày 28/02/2024</t>
  </si>
  <si>
    <t>Nguồn vốn ngân sách địa phương (tỉnh hỗ trợ)</t>
  </si>
  <si>
    <t>35/QĐ-UBND ngày 28/02/2023</t>
  </si>
  <si>
    <t>Đường giao thông nông thôn nội thôn Nà Vịt, xã Nông Thượng</t>
  </si>
  <si>
    <t>CHƯƠNG TRÌNH MỤC TIÊU QUỐC GIA XÂY DỰNG NÔNG THÔN MỚI</t>
  </si>
  <si>
    <t>Kế hoạch năm 2025</t>
  </si>
  <si>
    <t>Thực hiện năm 2025</t>
  </si>
  <si>
    <t>Dư nguồn đến ngày 30/6/2025</t>
  </si>
  <si>
    <t>Dư nguồn đến 31/12/2025</t>
  </si>
  <si>
    <t>Trường mầm non Phùng Chí Kiên</t>
  </si>
  <si>
    <t>Trường mầm non Sông Cầu</t>
  </si>
  <si>
    <t>Trường mầm non Xuất Hóa</t>
  </si>
  <si>
    <t>Trường mầm non Nông Thượng</t>
  </si>
  <si>
    <t>Trường Tiểu học Sông Cầu</t>
  </si>
  <si>
    <t>Trường Tiểu học Phùng Chí Kiên</t>
  </si>
  <si>
    <t>Trường Tiểu học và THXS Nông Thượng</t>
  </si>
  <si>
    <t>Trường Tiểu học và THXS Xuất Hóa</t>
  </si>
  <si>
    <t>Trường Trung học cơ sở Bắc Kạn</t>
  </si>
  <si>
    <t>Phòng Văn hóa - Xã hội</t>
  </si>
  <si>
    <t>Phòng giao dịch số 4, kho bạc nhà nước khu vực VII</t>
  </si>
  <si>
    <t>PHỤ LỤC 1</t>
  </si>
  <si>
    <t>PHỤ LỤC 2</t>
  </si>
  <si>
    <t>Lĩnh vực kinh tế (Loại 280)</t>
  </si>
  <si>
    <t>1.3.1</t>
  </si>
  <si>
    <t>Lĩnh vực kiến thiết thị chính (Loại 280- Ngành 312)</t>
  </si>
  <si>
    <t>Các hoạt động điều tra, thăm dò, khảo sát, tư vấn, quy hoạch trong các lĩnh vực kinh tế, xã hội, nhân văn (Loại 280 - Ngành 332)</t>
  </si>
  <si>
    <t>1.3.2</t>
  </si>
  <si>
    <t>Loại 280 - Chi các hoạt động kinh tế (Ngành 338)</t>
  </si>
  <si>
    <t>Trung tâm Dịch vụ tổng hợp</t>
  </si>
  <si>
    <t>QUYẾT TOÁN CHI ĐẦU TƯ PHÁT TRIỂN CỦA NGÂN SÁCH CẤP XÃ CHO TỪNG CƠ QUAN, TỔ CHỨC THEO LĨNH VỰC NĂM 2025</t>
  </si>
  <si>
    <t>PHÒNG KINH TẾ, HẠ TẦNG &amp; ĐÔ THỊ</t>
  </si>
  <si>
    <t>PHỤ LỤC 6</t>
  </si>
  <si>
    <t>PHỤ LỤC 7</t>
  </si>
  <si>
    <t>QUYẾT TOÁN CHI NGÂN SÁCH CẤP XÃ THEO LĨNH VỰC NĂM 2025</t>
  </si>
  <si>
    <t>Thu hổi</t>
  </si>
  <si>
    <t>hủy</t>
  </si>
  <si>
    <t>Sự nghiệp giáo dục - đào tạo và dạy nghề</t>
  </si>
  <si>
    <t>PHỤ LỤC 12</t>
  </si>
  <si>
    <t>Sự nghiệp giáo dục (Thu học phí)</t>
  </si>
  <si>
    <r>
      <t xml:space="preserve">Nguồn năm trước chuyển sang </t>
    </r>
    <r>
      <rPr>
        <sz val="11.5"/>
        <color theme="1"/>
        <rFont val="Times New Roman"/>
        <family val="1"/>
      </rPr>
      <t>(nếu có)</t>
    </r>
  </si>
  <si>
    <r>
      <t xml:space="preserve">Bổ sung trong năm </t>
    </r>
    <r>
      <rPr>
        <sz val="11.5"/>
        <color theme="1"/>
        <rFont val="Times New Roman"/>
        <family val="1"/>
      </rPr>
      <t>(nếu có)</t>
    </r>
  </si>
  <si>
    <r>
      <t xml:space="preserve">Giảm trừ trong năm </t>
    </r>
    <r>
      <rPr>
        <sz val="11.5"/>
        <color theme="1"/>
        <rFont val="Times New Roman"/>
        <family val="1"/>
      </rPr>
      <t>(nếu có)</t>
    </r>
  </si>
  <si>
    <t>PHỤ LỤC 8</t>
  </si>
  <si>
    <t>Công an phường</t>
  </si>
  <si>
    <t>PHỤ LỤC 11</t>
  </si>
  <si>
    <t>PHỤ LỤC 10</t>
  </si>
  <si>
    <t>PHỤ LỤC 9</t>
  </si>
  <si>
    <t>PHỤ LỤC 3</t>
  </si>
  <si>
    <t>PHỤ LỤC 4</t>
  </si>
  <si>
    <t>PHỤ LỤC 5</t>
  </si>
  <si>
    <r>
      <t xml:space="preserve">Chi đầu tư phát triển </t>
    </r>
    <r>
      <rPr>
        <sz val="10"/>
        <rFont val="Times New Roman"/>
        <family val="1"/>
      </rPr>
      <t>(Không kể chương trình MTQG)</t>
    </r>
  </si>
  <si>
    <r>
      <t xml:space="preserve">Chi thường xuyên </t>
    </r>
    <r>
      <rPr>
        <sz val="10"/>
        <rFont val="Times New Roman"/>
        <family val="1"/>
      </rPr>
      <t>(Không kể chương trình MTQG)</t>
    </r>
  </si>
  <si>
    <t>Phòng Kinh tế, Hạ tầng và đô thị</t>
  </si>
  <si>
    <t>Sự nghiệp khác</t>
  </si>
  <si>
    <t>Đăng ký kinh doanh (lệ phí)</t>
  </si>
  <si>
    <t>Cấp giấy phép xây dựng (lệ phí)</t>
  </si>
  <si>
    <t>Cấp giấy pháp bán lẻ rượu (lệ phí)</t>
  </si>
  <si>
    <t>Văn phòng HĐND- UBND</t>
  </si>
  <si>
    <t>Phí chứng thực, hộ tịch, sử dụng thông tin</t>
  </si>
  <si>
    <t>CHI NGÂN SÁCH CẤP XÃ THEO LĨNH VỰC</t>
  </si>
  <si>
    <t>QUYẾT TOÁN THU NSNN, VAY NSĐP THEO MỤC LỤC NSNN NĂM 2025</t>
  </si>
  <si>
    <t>Cấp</t>
  </si>
  <si>
    <t>63-342</t>
  </si>
  <si>
    <t>2750</t>
  </si>
  <si>
    <t>2800</t>
  </si>
  <si>
    <t>4900</t>
  </si>
  <si>
    <t>1600</t>
  </si>
  <si>
    <t>1700</t>
  </si>
  <si>
    <t>1701</t>
  </si>
  <si>
    <t>830</t>
  </si>
  <si>
    <t>1050</t>
  </si>
  <si>
    <t>1052</t>
  </si>
  <si>
    <t>2700</t>
  </si>
  <si>
    <t>2716</t>
  </si>
  <si>
    <t>2771</t>
  </si>
  <si>
    <t>4918</t>
  </si>
  <si>
    <t>4931</t>
  </si>
  <si>
    <t>4944</t>
  </si>
  <si>
    <t>4949</t>
  </si>
  <si>
    <t>854</t>
  </si>
  <si>
    <t>855</t>
  </si>
  <si>
    <t>1550</t>
  </si>
  <si>
    <t>1555</t>
  </si>
  <si>
    <t>2600</t>
  </si>
  <si>
    <t>2625</t>
  </si>
  <si>
    <t>856</t>
  </si>
  <si>
    <t>2802</t>
  </si>
  <si>
    <t>857</t>
  </si>
  <si>
    <t>1000</t>
  </si>
  <si>
    <t>1001</t>
  </si>
  <si>
    <t>1003</t>
  </si>
  <si>
    <t>1601</t>
  </si>
  <si>
    <t>1750</t>
  </si>
  <si>
    <t>1757</t>
  </si>
  <si>
    <t>2801</t>
  </si>
  <si>
    <t>2824</t>
  </si>
  <si>
    <t>2850</t>
  </si>
  <si>
    <t>2862</t>
  </si>
  <si>
    <t>2863</t>
  </si>
  <si>
    <t>2864</t>
  </si>
  <si>
    <t>4917</t>
  </si>
  <si>
    <t>4934</t>
  </si>
  <si>
    <t>860</t>
  </si>
  <si>
    <t>0911</t>
  </si>
  <si>
    <t>0913</t>
  </si>
  <si>
    <t>0914</t>
  </si>
  <si>
    <t>0917</t>
  </si>
  <si>
    <t>0918</t>
  </si>
  <si>
    <t>4650</t>
  </si>
  <si>
    <t>4651</t>
  </si>
  <si>
    <t>4654</t>
  </si>
  <si>
    <t>4800</t>
  </si>
  <si>
    <t>4801</t>
  </si>
  <si>
    <t>QUYẾT TOÁN CHI CHƯƠNG TRÌNH MỤC TIÊU QUỐC GIA THEO MỤC LỤC NSNN NĂM 2025</t>
  </si>
  <si>
    <t>Loại</t>
  </si>
  <si>
    <t>800</t>
  </si>
  <si>
    <t>070</t>
  </si>
  <si>
    <t>073</t>
  </si>
  <si>
    <t>9300</t>
  </si>
  <si>
    <t>9301</t>
  </si>
  <si>
    <t>9400</t>
  </si>
  <si>
    <t>9401</t>
  </si>
  <si>
    <t>9402</t>
  </si>
  <si>
    <t>280</t>
  </si>
  <si>
    <t>283</t>
  </si>
  <si>
    <t>6900</t>
  </si>
  <si>
    <t>292</t>
  </si>
  <si>
    <t>9200</t>
  </si>
  <si>
    <t>9449</t>
  </si>
  <si>
    <t>281</t>
  </si>
  <si>
    <t>6100</t>
  </si>
  <si>
    <t>6105</t>
  </si>
  <si>
    <t>6650</t>
  </si>
  <si>
    <t>6651</t>
  </si>
  <si>
    <t>6652</t>
  </si>
  <si>
    <t>6699</t>
  </si>
  <si>
    <t>7100</t>
  </si>
  <si>
    <t>7149</t>
  </si>
  <si>
    <t>7750</t>
  </si>
  <si>
    <t>7799</t>
  </si>
  <si>
    <t>338</t>
  </si>
  <si>
    <t>7000</t>
  </si>
  <si>
    <t>7001</t>
  </si>
  <si>
    <t>160</t>
  </si>
  <si>
    <t>171</t>
  </si>
  <si>
    <t>7049</t>
  </si>
  <si>
    <t>6550</t>
  </si>
  <si>
    <t>6551</t>
  </si>
  <si>
    <t>6657</t>
  </si>
  <si>
    <t>332</t>
  </si>
  <si>
    <t>8150</t>
  </si>
  <si>
    <t>8154</t>
  </si>
  <si>
    <t>161</t>
  </si>
  <si>
    <t>6950</t>
  </si>
  <si>
    <t>6956</t>
  </si>
  <si>
    <t>370</t>
  </si>
  <si>
    <t>398</t>
  </si>
  <si>
    <t>6599</t>
  </si>
  <si>
    <t>7756</t>
  </si>
  <si>
    <t>282</t>
  </si>
  <si>
    <t>6922</t>
  </si>
  <si>
    <t>083</t>
  </si>
  <si>
    <t>6552</t>
  </si>
  <si>
    <t>6999</t>
  </si>
  <si>
    <t>Đa dạng hóa sinh kế, phát triển mô hình giảm nghèo nguồn vốn ngân sách trung ương</t>
  </si>
  <si>
    <t>340</t>
  </si>
  <si>
    <t>Phát triển giáo dục nghề nghiệp, việc làm bền vững nguồn vốn ngân sách trung ương</t>
  </si>
  <si>
    <t>Mã
CTMT-QG</t>
  </si>
  <si>
    <t>Tên CTMT-QG</t>
  </si>
  <si>
    <t/>
  </si>
  <si>
    <t>00470</t>
  </si>
  <si>
    <t>Chương trình mục tiêu quốc gia giảm nghèo bền vững giai đoạn 2021-2025</t>
  </si>
  <si>
    <t>10472</t>
  </si>
  <si>
    <t>341</t>
  </si>
  <si>
    <t>10474</t>
  </si>
  <si>
    <t>6600</t>
  </si>
  <si>
    <t>6606</t>
  </si>
  <si>
    <t>6750</t>
  </si>
  <si>
    <t>6799</t>
  </si>
  <si>
    <t>10476</t>
  </si>
  <si>
    <t>Truyền thông và giảm nghèo về thông tin nguồn vốn ngân sách trung ương</t>
  </si>
  <si>
    <t>10477</t>
  </si>
  <si>
    <t>Nâng cao năng lực và giám sát, đánh giá Chương trình nguồn vốn ngân sách trung ương</t>
  </si>
  <si>
    <t>6700</t>
  </si>
  <si>
    <t>6702</t>
  </si>
  <si>
    <t>6703</t>
  </si>
  <si>
    <t>6751</t>
  </si>
  <si>
    <t>20472</t>
  </si>
  <si>
    <t>Đa dạng hóa sinh kế, phát triển mô hình giảm nghèo nguồn vốn ngân sách cấp tỉnh</t>
  </si>
  <si>
    <t>20474</t>
  </si>
  <si>
    <t>Phát triển giáo dục nghề nghiệp, việc làm bền vững nguồn vốn ngân sách cấp tỉnh</t>
  </si>
  <si>
    <t>20476</t>
  </si>
  <si>
    <t>Truyền thông và giảm nghèo về thông tin nguồn vốn ngân sách cấp tỉnh</t>
  </si>
  <si>
    <t>20477</t>
  </si>
  <si>
    <t>Nâng cao năng lực và giám sát, đánh giá Chương trình nguồn vốn ngân sách cấp tỉnh</t>
  </si>
  <si>
    <t>00490</t>
  </si>
  <si>
    <t>Chương trình mục tiêu quốc gia xây dựng nông thôn mới giai đoạn 2021-2025</t>
  </si>
  <si>
    <t>10492</t>
  </si>
  <si>
    <t>Phát triển hạ tầng kinh tế - xã hội, cơ bản đồng bộ, hiện đại, đảm bảo kết nối nông thôn - đô thị và kết nối các vùng miền nguồn vốn ngân sách trung ương</t>
  </si>
  <si>
    <t>10493</t>
  </si>
  <si>
    <t>Tiếp tục thực hiện có hiệu quả cơ cấu lại ngành nông nghiệp, phát triển kinh tế nông thôn triển khai mạnh mẽ Chương trình mỗi xã một sản phẩm (OCOP) nhằm nâng cao giá trị gia tăng, phù hợp với quá trì nguồn vốn ngân sách trung ương</t>
  </si>
  <si>
    <t>10502</t>
  </si>
  <si>
    <t>Tăng cường công tác giám sát, đánh giá thực hiện Chương trình nâng cao năng lực xây dựng nông thôn mới truyền thông về xây dựng nông thôn mới thực hiện Phong trào thi đua cả nước chung sức xây dựng nô nguồn vốn ngân sách trung ương</t>
  </si>
  <si>
    <t>6912</t>
  </si>
  <si>
    <t>20492</t>
  </si>
  <si>
    <t>Phát triển hạ tầng kinh tế - xã hội, cơ bản đồng bộ, hiện đại, đảm bảo kết nối nông thôn - đô thị và kết nối các vùng miền nguồn vốn ngân sách cấp tỉnh</t>
  </si>
  <si>
    <t>20493</t>
  </si>
  <si>
    <t>Tiếp tục thực hiện có hiệu quả cơ cấu lại ngành nông nghiệp, phát triển kinh tế nông thôn triển khai mạnh mẽ Chương trình mỗi xã một sản phẩm (OCOP) nhằm nâng cao giá trị gia tăng, phù hợp với quá trì</t>
  </si>
  <si>
    <t>20502</t>
  </si>
  <si>
    <t>Tăng cường công tác giám sát, đánh giá thực hiện Chương trình nâng cao năng lực xây dựng nông thôn mới truyền thông về xây dựng nông thôn mới thực hiện Phong trào thi đua cả nước chung sức xây dựng nô</t>
  </si>
  <si>
    <t>00510</t>
  </si>
  <si>
    <t>Chương trình mục tiêu quốc gia phát triển kinh tế - xã hội vùng đồng bào dân tộc thiểu số và miền núi giai đoạn 2021-2030, giai đoạn I: từ năm 2021 đến năm 2025</t>
  </si>
  <si>
    <t>10515</t>
  </si>
  <si>
    <t>Phát triển giáo dục đào tạo nâng cao chất lượng nguồn nhân lực nguồn vốn NSTW</t>
  </si>
  <si>
    <t>075</t>
  </si>
  <si>
    <t>6150</t>
  </si>
  <si>
    <t>6199</t>
  </si>
  <si>
    <t>10516</t>
  </si>
  <si>
    <t>Bảo tồn, phát huy giá trị văn hóa truyền thống tốt đẹp của các dân tộc thiểu số gắn với phát triển du lịch nguồn vốn NSTW</t>
  </si>
  <si>
    <t>10521</t>
  </si>
  <si>
    <t>Truyền thông, tuyên truyền, vận động trong vùng đồng bào dân tộc thiểu số và miền núi. Kiểm tra, giám sát đánh giá việc tổ chức thực hiện chương trình nguồn vốn NSTW</t>
  </si>
  <si>
    <t>20515</t>
  </si>
  <si>
    <t>Phát triển giáo dục đào tạo nâng cao chất lượng nguồn nhân lực nguồn vốn ngân sách cấp tỉnh</t>
  </si>
  <si>
    <t>20516</t>
  </si>
  <si>
    <t>Bảo tồn, phát huy giá trị văn hóa truyền thống tốt đẹp của các dân tộc thiểu số gắn với phát triển du lịch nguồn vốn ngân sách cấp tỉnh</t>
  </si>
  <si>
    <t>20521</t>
  </si>
  <si>
    <t>Truyền thông, tuyên truyền, vận động trong vùng đồng bào dân tộc thiểu số và miền núi. Kiểm tra, giám sát đánh giá việc tổ chức thực hiện chương trình nguồn vốn ngân sách cấp tỉnh</t>
  </si>
  <si>
    <t>4</t>
  </si>
  <si>
    <t>00620</t>
  </si>
  <si>
    <t>Chương trình Mục tiêu phát triển lâm nghiệp bền vững</t>
  </si>
  <si>
    <t>10629</t>
  </si>
  <si>
    <t>Dự án, mục tiêu khác nguồn vốn ngân sách trung ương</t>
  </si>
  <si>
    <t>5</t>
  </si>
  <si>
    <t>00950</t>
  </si>
  <si>
    <t>Các chương trình, mục tiêu, dự án khác</t>
  </si>
  <si>
    <t>10959</t>
  </si>
  <si>
    <t>Các chương trình, mục tiêu, dự án khác nguồn vốn ngân sách trung ương</t>
  </si>
  <si>
    <t>040</t>
  </si>
  <si>
    <t>041</t>
  </si>
  <si>
    <t>7012</t>
  </si>
  <si>
    <t>Đơn vị: nghìn đồng</t>
  </si>
  <si>
    <t>An toàn giao thông</t>
  </si>
  <si>
    <t>Ngày      tháng 3 năm 2026</t>
  </si>
  <si>
    <t xml:space="preserve">PHÒNG GIAO DỊCH SỐ 4 - KHO BẠC NHÀ NƯỚC KHU VỰC VII  </t>
  </si>
  <si>
    <t>TRƯỞNG PHÒNG KINH TẾ, HẠ TẦNG VÀ ĐÔ THỊ</t>
  </si>
  <si>
    <t>Lâm nghiệp bền vững</t>
  </si>
  <si>
    <t>QUYẾT TOÁN CHI, TRẢ NỢ NSĐP THEO MỤC LỤC NSNN NĂM 2025</t>
  </si>
  <si>
    <t>010</t>
  </si>
  <si>
    <t>011</t>
  </si>
  <si>
    <t>6115</t>
  </si>
  <si>
    <t>6350</t>
  </si>
  <si>
    <t>6399</t>
  </si>
  <si>
    <t>071</t>
  </si>
  <si>
    <t>6000</t>
  </si>
  <si>
    <t>6001</t>
  </si>
  <si>
    <t>6050</t>
  </si>
  <si>
    <t>6051</t>
  </si>
  <si>
    <t>6101</t>
  </si>
  <si>
    <t>6102</t>
  </si>
  <si>
    <t>6112</t>
  </si>
  <si>
    <t>6113</t>
  </si>
  <si>
    <t>6149</t>
  </si>
  <si>
    <t>6151</t>
  </si>
  <si>
    <t>6157</t>
  </si>
  <si>
    <t>6200</t>
  </si>
  <si>
    <t>6201</t>
  </si>
  <si>
    <t>6300</t>
  </si>
  <si>
    <t>6301</t>
  </si>
  <si>
    <t>6302</t>
  </si>
  <si>
    <t>6303</t>
  </si>
  <si>
    <t>6304</t>
  </si>
  <si>
    <t>6400</t>
  </si>
  <si>
    <t>6401</t>
  </si>
  <si>
    <t>6449</t>
  </si>
  <si>
    <t>6500</t>
  </si>
  <si>
    <t>6501</t>
  </si>
  <si>
    <t>6504</t>
  </si>
  <si>
    <t>6601</t>
  </si>
  <si>
    <t>6605</t>
  </si>
  <si>
    <t>6701</t>
  </si>
  <si>
    <t>6757</t>
  </si>
  <si>
    <t>6907</t>
  </si>
  <si>
    <t>6913</t>
  </si>
  <si>
    <t>6921</t>
  </si>
  <si>
    <t>6949</t>
  </si>
  <si>
    <t>7004</t>
  </si>
  <si>
    <t>7761</t>
  </si>
  <si>
    <t>7766</t>
  </si>
  <si>
    <t>072</t>
  </si>
  <si>
    <t>6107</t>
  </si>
  <si>
    <t>6404</t>
  </si>
  <si>
    <t>6704</t>
  </si>
  <si>
    <t>6955</t>
  </si>
  <si>
    <t>6156</t>
  </si>
  <si>
    <t>6754</t>
  </si>
  <si>
    <t>130</t>
  </si>
  <si>
    <t>133</t>
  </si>
  <si>
    <t>190</t>
  </si>
  <si>
    <t>191</t>
  </si>
  <si>
    <t>220</t>
  </si>
  <si>
    <t>221</t>
  </si>
  <si>
    <t>250</t>
  </si>
  <si>
    <t>278</t>
  </si>
  <si>
    <t>6111</t>
  </si>
  <si>
    <t>6124</t>
  </si>
  <si>
    <t>6202</t>
  </si>
  <si>
    <t>6249</t>
  </si>
  <si>
    <t>6250</t>
  </si>
  <si>
    <t>6299</t>
  </si>
  <si>
    <t>6353</t>
  </si>
  <si>
    <t>6503</t>
  </si>
  <si>
    <t>6603</t>
  </si>
  <si>
    <t>6608</t>
  </si>
  <si>
    <t>6901</t>
  </si>
  <si>
    <t>7050</t>
  </si>
  <si>
    <t>7053</t>
  </si>
  <si>
    <t>7250</t>
  </si>
  <si>
    <t>7757</t>
  </si>
  <si>
    <t>8000</t>
  </si>
  <si>
    <t>8006</t>
  </si>
  <si>
    <t>8049</t>
  </si>
  <si>
    <t>351</t>
  </si>
  <si>
    <t>6123</t>
  </si>
  <si>
    <t>6649</t>
  </si>
  <si>
    <t>7850</t>
  </si>
  <si>
    <t>7851</t>
  </si>
  <si>
    <t>7852</t>
  </si>
  <si>
    <t>7854</t>
  </si>
  <si>
    <t>361</t>
  </si>
  <si>
    <t>371</t>
  </si>
  <si>
    <t>7450</t>
  </si>
  <si>
    <t>7499</t>
  </si>
  <si>
    <t>374</t>
  </si>
  <si>
    <t>7262</t>
  </si>
  <si>
    <t>400</t>
  </si>
  <si>
    <t>428</t>
  </si>
  <si>
    <t>430</t>
  </si>
  <si>
    <t>433</t>
  </si>
  <si>
    <t>7700</t>
  </si>
  <si>
    <t>7702</t>
  </si>
  <si>
    <t>Cấp 4</t>
  </si>
  <si>
    <t>6502</t>
  </si>
  <si>
    <t>6505</t>
  </si>
  <si>
    <t>6553</t>
  </si>
  <si>
    <t>9201</t>
  </si>
  <si>
    <t>6116</t>
  </si>
  <si>
    <t>093</t>
  </si>
  <si>
    <t>7150</t>
  </si>
  <si>
    <t>7152</t>
  </si>
  <si>
    <t>7155</t>
  </si>
  <si>
    <t>6905</t>
  </si>
  <si>
    <t>6658</t>
  </si>
  <si>
    <t>6752</t>
  </si>
  <si>
    <t>261</t>
  </si>
  <si>
    <t>6549</t>
  </si>
  <si>
    <t>6655</t>
  </si>
  <si>
    <t>311</t>
  </si>
  <si>
    <t>312</t>
  </si>
  <si>
    <t>7753</t>
  </si>
  <si>
    <t>9250</t>
  </si>
  <si>
    <t>9253</t>
  </si>
  <si>
    <t>331</t>
  </si>
  <si>
    <t>9251</t>
  </si>
  <si>
    <t>9299</t>
  </si>
  <si>
    <t>6114</t>
  </si>
  <si>
    <t>6349</t>
  </si>
  <si>
    <t>6749</t>
  </si>
  <si>
    <t>7161</t>
  </si>
  <si>
    <t>6618</t>
  </si>
  <si>
    <t>7162</t>
  </si>
  <si>
    <t>7199</t>
  </si>
  <si>
    <t>362</t>
  </si>
  <si>
    <t>7252</t>
  </si>
  <si>
    <t>7151</t>
  </si>
  <si>
    <t>7164</t>
  </si>
  <si>
    <t>8050</t>
  </si>
  <si>
    <t>8099</t>
  </si>
  <si>
    <t>435</t>
  </si>
  <si>
    <t>Q.TRƯỞNG PHÒNG KINH TẾ, HẠ TẦNG VÀ ĐÔ THỊ</t>
  </si>
  <si>
    <t>820</t>
  </si>
  <si>
    <t>821</t>
  </si>
  <si>
    <t>822</t>
  </si>
  <si>
    <t>4902</t>
  </si>
  <si>
    <t>3450</t>
  </si>
  <si>
    <t>3499</t>
  </si>
  <si>
    <t>4250</t>
  </si>
  <si>
    <t>4263</t>
  </si>
  <si>
    <t>4278</t>
  </si>
  <si>
    <t>4299</t>
  </si>
  <si>
    <t>4450</t>
  </si>
  <si>
    <t>4499</t>
  </si>
  <si>
    <t>831</t>
  </si>
  <si>
    <t>2100</t>
  </si>
  <si>
    <t>2106</t>
  </si>
  <si>
    <t>2250</t>
  </si>
  <si>
    <t>2255</t>
  </si>
  <si>
    <t>2450</t>
  </si>
  <si>
    <t>2455</t>
  </si>
  <si>
    <t>2632</t>
  </si>
  <si>
    <t>4943</t>
  </si>
  <si>
    <t>833</t>
  </si>
  <si>
    <t>2108</t>
  </si>
  <si>
    <t>2627</t>
  </si>
  <si>
    <t>2721</t>
  </si>
  <si>
    <t>2805</t>
  </si>
  <si>
    <t>2815</t>
  </si>
  <si>
    <t>2852</t>
  </si>
  <si>
    <t>1602</t>
  </si>
  <si>
    <t>1603</t>
  </si>
  <si>
    <t>2804</t>
  </si>
  <si>
    <t>4254</t>
  </si>
  <si>
    <t>4268</t>
  </si>
  <si>
    <t>4272</t>
  </si>
  <si>
    <t>4927</t>
  </si>
  <si>
    <t>1004</t>
  </si>
  <si>
    <t>1014</t>
  </si>
  <si>
    <t>1400</t>
  </si>
  <si>
    <t>1401</t>
  </si>
  <si>
    <t>1411</t>
  </si>
  <si>
    <t>1754</t>
  </si>
  <si>
    <t>2300</t>
  </si>
  <si>
    <t>2301</t>
  </si>
  <si>
    <t>3600</t>
  </si>
  <si>
    <t>3605</t>
  </si>
  <si>
    <t>4914</t>
  </si>
  <si>
    <t>0900</t>
  </si>
  <si>
    <t>0915</t>
  </si>
  <si>
    <t>989</t>
  </si>
  <si>
    <t>2150</t>
  </si>
  <si>
    <t>2153</t>
  </si>
  <si>
    <t>KINH PHÍ THƯỜNG XUYÊN</t>
  </si>
  <si>
    <t>CHƯƠNG TRÌNH MỰC TIÊU QUỐC GIA GIAI ĐOẠN 2021-2026</t>
  </si>
  <si>
    <t xml:space="preserve"> Q.TRƯỞNG PHÒNG
</t>
  </si>
  <si>
    <t>Q.TRƯỞNG PHÒNG</t>
  </si>
  <si>
    <t>CÂN ĐỐI QUYẾT TOÁN NGÂN SÁCH ĐỊA PHƯƠNG NĂM 2025</t>
  </si>
  <si>
    <t>Kế toán                Kế toán trưởng          Giám đốc</t>
  </si>
  <si>
    <t>kt</t>
  </si>
  <si>
    <t>qlnn</t>
  </si>
  <si>
    <t>vhtt</t>
  </si>
  <si>
    <t>gd</t>
  </si>
  <si>
    <t>antt</t>
  </si>
  <si>
    <t>TT342/2016/TT-BTC - Biểu số 65</t>
  </si>
  <si>
    <t xml:space="preserve">       </t>
  </si>
  <si>
    <t>BÁO CÁO QUYẾT TOÁN CHI CTMT-QG NHÀ NƯỚC THEO MLNS NĂM  2025</t>
  </si>
  <si>
    <t>Quyết toán trên toàn địa bàn (KBNN: 2260)</t>
  </si>
  <si>
    <t>'1905801843 - Phường Bắc Kạn</t>
  </si>
  <si>
    <t>Đơn vị tính: Đồng</t>
  </si>
  <si>
    <t>Tổng Số
Dự toán</t>
  </si>
  <si>
    <t>Số Tổng</t>
  </si>
  <si>
    <t>Số Tỉnh</t>
  </si>
  <si>
    <t>Số Huyện</t>
  </si>
  <si>
    <t>Số Xã</t>
  </si>
  <si>
    <t>Dự toán
năm trước
chuyển sang</t>
  </si>
  <si>
    <t>Dự toán
giao đầu năm</t>
  </si>
  <si>
    <t>Dự toán
điều chỉnh</t>
  </si>
  <si>
    <t>Chương trình mục tiêu quốc gia giảm nghèo bền vững giai đoạn 2021-2025 (00470)</t>
  </si>
  <si>
    <t>Đa dạng hóa sinh kế, phát triển mô hình giảm nghèo nguồn vốn ngân sách trung ương (10472)</t>
  </si>
  <si>
    <t>Văn phòng HĐND - UBND phường Bắc Kạn (1151462)</t>
  </si>
  <si>
    <t>Phòng Kinh tế, Hạ tầng và Đô thị (1151463)</t>
  </si>
  <si>
    <t>Phát triển giáo dục nghề nghiệp, việc làm bền vững nguồn vốn ngân sách trung ương (10474)</t>
  </si>
  <si>
    <t>Phòng Văn hoá - Xã hội phường Bắc Kạn (1151464)</t>
  </si>
  <si>
    <t>Truyền thông và giảm nghèo về thông tin nguồn vốn ngân sách trung ương (10476)</t>
  </si>
  <si>
    <t>Nâng cao năng lực và giám sát, đánh giá Chương trình nguồn vốn ngân sách trung ương (10477)</t>
  </si>
  <si>
    <t>Đa dạng hóa sinh kế, phát triển mô hình giảm nghèo nguồn vốn ngân sách cấp tỉnh (20472)</t>
  </si>
  <si>
    <t>Phát triển giáo dục nghề nghiệp, việc làm bền vững nguồn vốn ngân sách cấp tỉnh (20474)</t>
  </si>
  <si>
    <t>Truyền thông và giảm nghèo về thông tin nguồn vốn ngân sách cấp tỉnh (20476)</t>
  </si>
  <si>
    <t>Nâng cao năng lực và giám sát, đánh giá Chương trình nguồn vốn ngân sách cấp tỉnh (20477)</t>
  </si>
  <si>
    <t>Chương trình mục tiêu quốc gia xây dựng nông thôn mới giai đoạn 2021-2025 (00490)</t>
  </si>
  <si>
    <t>Phát triển hạ tầng kinh tế - xã hội, cơ bản đồng bộ, hiện đại, đảm bảo kết nối nông thôn - đô thị và kết nối các vùng miền nguồn vốn ngân sách trung ương (10492)</t>
  </si>
  <si>
    <t>Xây dựng đường nội thôn Khuổi Chang ( tuyến từ nhà ông Nàm đến nhà ông Báo) (8093296)</t>
  </si>
  <si>
    <t>Xây dựng đường nội thôn Khuổi Chang( Tuyến từ nhà ông Cường đến nhà ông Hoạt) (8093452)</t>
  </si>
  <si>
    <t>Xây dựng đường ngõ xóm Bản Vá, thôn Nà Chuông (8093551)</t>
  </si>
  <si>
    <t>Xây dựng đường nội thôn Nà Quáng - Nà Kéo, thôn Nà Chuông, xã Nông Thượng (8093739)</t>
  </si>
  <si>
    <t>Xây dựng rãnh thoát nước Tân Thành- Khuổi Chang (8093741)</t>
  </si>
  <si>
    <t>Đường GTNT nội thôn Nà Vịt, xã Nông Thượng (8122848)</t>
  </si>
  <si>
    <t>Tiếp tục thực hiện có hiệu quả cơ cấu lại ngành nông nghiệp, phát triển kinh tế nông thôn triển khai mạnh mẽ Chương trình mỗi xã một sản phẩm (OCOP) nhằm nâng cao giá trị gia tăng, phù hợp với quá trì nguồn vốn ngân sách trung ương (10493)</t>
  </si>
  <si>
    <t>Tăng cường công tác giám sát, đánh giá thực hiện Chương trình nâng cao năng lực xây dựng nông thôn mới truyền thông về xây dựng nông thôn mới thực hiện Phong trào thi đua cả nước chung sức xây dựng nô nguồn vốn ngân sách trung ương (10502)</t>
  </si>
  <si>
    <t>Phát triển hạ tầng kinh tế - xã hội, cơ bản đồng bộ, hiện đại, đảm bảo kết nối nông thôn - đô thị và kết nối các vùng miền nguồn vốn ngân sách cấp tỉnh (20492)</t>
  </si>
  <si>
    <t>Tiếp tục thực hiện có hiệu quả cơ cấu lại ngành nông nghiệp, phát triển kinh tế nông thôn triển khai mạnh mẽ Chương trình mỗi xã một sản phẩm (OCOP) nhằm nâng cao giá trị gia tăng, phù hợp với quá trì (20493)</t>
  </si>
  <si>
    <t>Tăng cường công tác giám sát, đánh giá thực hiện Chương trình nâng cao năng lực xây dựng nông thôn mới truyền thông về xây dựng nông thôn mới thực hiện Phong trào thi đua cả nước chung sức xây dựng nô (20502)</t>
  </si>
  <si>
    <t>Chương trình mục tiêu quốc gia phát triển kinh tế - xã hội vùng đồng bào dân tộc thiểu số và miền núi giai đoạn 2021-2030, giai đoạn I: từ năm 2021 đến năm 2025 (00510)</t>
  </si>
  <si>
    <t>Phát triển giáo dục đào tạo nâng cao chất lượng nguồn nhân lực nguồn vốn NSTW (10515)</t>
  </si>
  <si>
    <t>Bảo tồn, phát huy giá trị văn hóa truyền thống tốt đẹp của các dân tộc thiểu số gắn với phát triển du lịch nguồn vốn NSTW (10516)</t>
  </si>
  <si>
    <t>Truyền thông, tuyên truyền, vận động trong vùng đồng bào dân tộc thiểu số và miền núi. Kiểm tra, giám sát đánh giá việc tổ chức thực hiện chương trình nguồn vốn NSTW (10521)</t>
  </si>
  <si>
    <t>Phát triển giáo dục đào tạo nâng cao chất lượng nguồn nhân lực nguồn vốn ngân sách cấp tỉnh (20515)</t>
  </si>
  <si>
    <t>Bảo tồn, phát huy giá trị văn hóa truyền thống tốt đẹp của các dân tộc thiểu số gắn với phát triển du lịch nguồn vốn ngân sách cấp tỉnh (20516)</t>
  </si>
  <si>
    <t>Truyền thông, tuyên truyền, vận động trong vùng đồng bào dân tộc thiểu số và miền núi. Kiểm tra, giám sát đánh giá việc tổ chức thực hiện chương trình nguồn vốn ngân sách cấp tỉnh (20521)</t>
  </si>
  <si>
    <t>Chương trình Mục tiêu phát triển lâm nghiệp bền vững (00620)</t>
  </si>
  <si>
    <t>Dự án, mục tiêu khác nguồn vốn ngân sách trung ương (10629)</t>
  </si>
  <si>
    <t>Trung tâm Dịch vụ tổng hợp Phường Bắc Kạn (1159192)</t>
  </si>
  <si>
    <t>Các chương trình, mục tiêu, dự án khác (00950)</t>
  </si>
  <si>
    <t>Các chương trình, mục tiêu, dự án khác nguồn vốn ngân sách trung ương (10959)</t>
  </si>
  <si>
    <t>UBND phường</t>
  </si>
  <si>
    <t>QUYẾT TOÁN CÂN ĐỐI NGÂN SÁCH NHÀ NƯỚC NĂM 2025</t>
  </si>
  <si>
    <t>QUYẾT TOÁN CHI NGÂN SÁCH NHÀ NƯỚC THEO LĨNH VỰC NĂM 2025</t>
  </si>
  <si>
    <t>QUYẾT TOÁN CHI NGÂN SÁCH CẤP XÃ CHO TỪNG CƠ QUAN, TỔ CHỨC THEO LĨNH VỰC NĂM 2025</t>
  </si>
  <si>
    <t>QUYẾT TOÁN CHI THƯỜNG XUYÊN CỦA NGÂN SÁCH CẤP XÃ CHO TỪNG CƠ QUAN, TỔ CHỨC THEO LĨNH VỰC NĂM 2025 (BAO GỒM CẢ CTMTQG GIAI ĐOẠN 2021-2026)</t>
  </si>
  <si>
    <t>TỔNG HỢP QUYẾT TOÁN CHI THƯỜNG XUYÊN NGÂN SÁCH CẤP XÃ CỦA TỪNG CƠ QUAN, TỔ CHỨC 
THEO NGUỒN VỐN NĂM 2025</t>
  </si>
  <si>
    <t>6</t>
  </si>
  <si>
    <t>7=3/1</t>
  </si>
  <si>
    <t>8=3/2</t>
  </si>
  <si>
    <t>Năm trc chuyển sang</t>
  </si>
  <si>
    <t>Nguồn CN</t>
  </si>
  <si>
    <t>CN</t>
  </si>
  <si>
    <t>CTMTGQ</t>
  </si>
  <si>
    <t>Vốn ĐT</t>
  </si>
  <si>
    <t>Vốn SN</t>
  </si>
  <si>
    <t>QUYẾT TOÁN CHI NGÂN SÁCH NHÀ NƯỚC NĂM 2025</t>
  </si>
  <si>
    <t>THUYẾT MINH TĂNG, GIẢM CHI QUẢN LÝ HÀNH CHÍNH, ĐẢNG, ĐOÀN THỂ NĂM 2025</t>
  </si>
  <si>
    <t>CHI KHẮC PHỤC HẬU QUẢ THIÊN TAI NĂM 2025</t>
  </si>
  <si>
    <t>THUYẾT MINH TÌNH HÌNH SỬ DỤNG NGUỒN DỰ PHÒNG, TĂNG THU VÀ THƯỞNG VƯỢT DỰ TOÁN THU NGÂN SÁCH NĂM 2025</t>
  </si>
  <si>
    <t>PHÒNG KINH TẾ, HẠ TẦNG VÀ ĐÔ THỊ</t>
  </si>
  <si>
    <t>009</t>
  </si>
  <si>
    <t>2767</t>
  </si>
  <si>
    <t>2768</t>
  </si>
  <si>
    <t>2827</t>
  </si>
  <si>
    <t>4252</t>
  </si>
  <si>
    <t>4276</t>
  </si>
  <si>
    <t>014</t>
  </si>
  <si>
    <t>2701</t>
  </si>
  <si>
    <t>2706</t>
  </si>
  <si>
    <t>123</t>
  </si>
  <si>
    <t>124</t>
  </si>
  <si>
    <t>140</t>
  </si>
  <si>
    <t>176</t>
  </si>
  <si>
    <t>405</t>
  </si>
  <si>
    <t>412</t>
  </si>
  <si>
    <t>413</t>
  </si>
  <si>
    <t>416</t>
  </si>
  <si>
    <t>4281</t>
  </si>
  <si>
    <t>418</t>
  </si>
  <si>
    <t>422</t>
  </si>
  <si>
    <t>423</t>
  </si>
  <si>
    <t>425</t>
  </si>
  <si>
    <t>426</t>
  </si>
  <si>
    <t>511</t>
  </si>
  <si>
    <t>554</t>
  </si>
  <si>
    <t>555</t>
  </si>
  <si>
    <t>1552</t>
  </si>
  <si>
    <t>557</t>
  </si>
  <si>
    <t>564</t>
  </si>
  <si>
    <t>599</t>
  </si>
  <si>
    <t>ĐVT: Đồng</t>
  </si>
  <si>
    <t xml:space="preserve">UBND PHƯỜNG BẮC KẠN </t>
  </si>
  <si>
    <t>Kinh phí cho các địa phương để thực hiện chính sách, chế độ theo Nghị định số 154/2025/NĐ-CP ngày 15/6/2025 của Chính phủ (đợt 7)</t>
  </si>
  <si>
    <t>434</t>
  </si>
  <si>
    <t>0950</t>
  </si>
  <si>
    <t>0961</t>
  </si>
  <si>
    <t>0963</t>
  </si>
  <si>
    <t>0964</t>
  </si>
  <si>
    <t>0965</t>
  </si>
  <si>
    <t>0967</t>
  </si>
  <si>
    <t>0968</t>
  </si>
  <si>
    <t>Nguồn NS Trung ương</t>
  </si>
  <si>
    <t>Nguồn NS cấp tỉnh</t>
  </si>
  <si>
    <t>KTHT</t>
  </si>
  <si>
    <t>VPUB</t>
  </si>
  <si>
    <t>VHXH</t>
  </si>
  <si>
    <t>Về việc trích ngân sách tỉnh năm 2025 bổ sung kinh phí cho các cơ quan, đơn vị, địa phương để thực hiện chính sách, chế độ theo Nghị định số 178/2024/NĐ-CP ngày 31/12/2024 và Nghị định số 67/2025/NĐ-CP ngày 15/3/2025 của Chính phủ (đợt 3)</t>
  </si>
  <si>
    <t>Về việc trích ngân sách tỉnh năm 2025 bổ sung kinh phí cho một số địa phương để tổ chức Chương trình nghệ thuật chào mừng 80 năm Cách mạng tháng Tám thành công và Quốc khánh nước Cộng hòa xã hội chủ nghĩa Việt Nam</t>
  </si>
  <si>
    <t>Về việc trích ngân sách tỉnh năm 2025 phân bổ kinh phí cho các địa phương để thực hiện tặng quà cho nhân dân nhân dịp kỷ niệm 80 năm Cách mạng tháng Tám và Quốc khánh 02/9</t>
  </si>
  <si>
    <t>Về việc trích ngân sách tỉnh năm 2025 phân bổ sung kinh phí cho các cơ quan, đơn vị, địa phương để thực hiện chính sách, chế độ theo Nghị định số 178/2024/NĐ-CP ngày 31/12/2024 và Nghị định số 67/2025/NĐ-CP ngày 15/3/2025 của Chính phủ (đợt 5);</t>
  </si>
  <si>
    <t>Về việc trích ngân sách tỉnh năm 2025 phân bổ sung kinh phí cho các cơ quan, đơn vị, địa phương để thực hiện chính sách, chế độ theo Nghị định số 178/2024/NĐ-CP ngày 31/12/2024 và Nghị định số 67/2025/NĐ-CP ngày 15/3/2025 của Chính phủ (đợt 6)</t>
  </si>
  <si>
    <t>Về việc trích ngân sách tỉnh năm 2025 phân bổ kinh phí cho các cơ quan, đơn vị, địa phương để thực hiện các chế độ, chính sách cho các đối tượng đã được phê duyệt trước khi sắp xếp đơn vị hành chính</t>
  </si>
  <si>
    <t>Về việc trích ngân sách tỉnh năm 2025 phân bổ sung kinh phí cho các cơ quan, đơn vị, địa phương (đợt 7) và bổ sung kinh phí cho các đối tượng đã được phê duyệt để thực hiện chính sách, chế độ theo Nghị định số 178/2024/NĐ-CP ngày 31/12/2024 và Nghị định số 67/2025/NĐ-CP ngày 15/3/2025 của Chính phủ</t>
  </si>
  <si>
    <t xml:space="preserve">Về việc trích dự phòng ngân sách tỉnh năm 2025 phân bổ kinh phí cho các cơ quan, đơn vị, địa phương để thực hiện các nhiệm vụ đã được phê duyệt trước khi sắp sếp đơn vị hành chính (thực hiện khắc phục sạt lở do ảnh hưởng của cơn bão số 3 và thiên tai năm 2024) </t>
  </si>
  <si>
    <t>Về việc trích ngân sách tỉnh năm 2025 bổ sung kinh phí cho một số đơn vị, địa phương thực hiện tổ chức các hoạt động Tết Trung thu</t>
  </si>
  <si>
    <t>Về việc trích ngân sách tỉnh năm 2025 phân bổ kinh phí cho các đơn vị, địa phương để khắc phục hậu quả do mưa lũ gây ra (đợt 2)</t>
  </si>
  <si>
    <t>Về việc trích ngân sách tỉnh năm 2025 phân bổ kinh phí cho các địa phương để thực hiện nhiệm vụ đã được phê duyệt trước khi sắp xếp đơn vị hành chính</t>
  </si>
  <si>
    <t>Về việc trích ngân sách tỉnh năm 2025 phân bổ kinh phí cho các địa phương để thực hiện chính sách, chế độ Nghị định số 154/2025/NĐ-CP ngày 15/6/2025 của Chính phủ (đợt 3).</t>
  </si>
  <si>
    <t>Về việc trích ngân sách tỉnh năm 2025 phân bổ kinh phí cho các đơn vị, địa phương để thực hiện chính sách, chế độ theo Nghị quyết số 07/2025/NQ-CP ngày 17/9/2025 của Chính phủ và Nghị quyết số 25/2025/NQ-HĐND ngày 28/10/2025 của HĐND tỉnh Thái Nguyên</t>
  </si>
  <si>
    <t>về việc trích ngân sách tỉnh năm 2025 phân bổ kinh phí cho các đơn vị, địa phương để thực hiện tặng quà của Đảng, Nhà nước nhân dịp chào mừng Đại hổi đại biểu toàn quốc lần thứ XIV của Đảng và Tết Nguyên đán Bính Ngọ năm 2026 theo Nghị quyết số 418/ND-CP ngày 28/12/2025 của Chính phủ</t>
  </si>
  <si>
    <t>Về việc trích ngân sách tỉnh năm 2025 phân bổ kinh phí từ nguồn ngân sách Trung ương cho các xã, phường phía Bắc tỉnh Thái Nguyên để thực hiện nhiệm vụ quy hoạch, chỉnh lý, lưu trữ, số hóa tài liệu, mua sắm trang thiết bị, phương tiện làm việc</t>
  </si>
  <si>
    <t>Về việc trích ngân sách tỉnh năm 2025 bổ sung kinh phí cho các địa phương để thực hiện chính sách, chế độ theo Nghị định số 154/2025/NĐ-CP ngày 15/6/2025 của Chính phủ (đợt 7);</t>
  </si>
  <si>
    <t>Về việc trích ngân sách tỉnh năm 2025 phân bổ dự toán từ nguồn thu tiền sử dụng đất năm 2025 cho các địa phương thực hiện nhiệm vụ</t>
  </si>
  <si>
    <t>Quyết định số 984/QĐ-UBND ngày 30/8/2025; Quyết định số 2683/QĐ-UBND ngày 31/12/2025</t>
  </si>
  <si>
    <t>Chi thường xuyên đảm bảo XH</t>
  </si>
  <si>
    <t>Chi sự nghiệp giáo dục</t>
  </si>
  <si>
    <t>Chi sự nghiệp giáo dục; Đảm bảo xã hội</t>
  </si>
  <si>
    <t>Kinh phí đảm bảo an toàn giao thông</t>
  </si>
  <si>
    <t>Chi an ninh và trật tự, an toàn xã hội</t>
  </si>
  <si>
    <t>Chương trình MTQG phát triển KT-XH vùng đồng bào dân tộc thiểu số và miền núi (Nguồn sự nghiệp)</t>
  </si>
  <si>
    <t xml:space="preserve"> - NSTW</t>
  </si>
  <si>
    <t xml:space="preserve"> - NSĐP</t>
  </si>
  <si>
    <t>Chương trình MTQG giảm nghèo bền vững (Nguồn sự nghiệp)</t>
  </si>
  <si>
    <t>Chương trình MTQG xây dựng NTM (Nguồn sự nghiệp)</t>
  </si>
  <si>
    <t>Nguồn năm 2024 chuyển sang 2025</t>
  </si>
  <si>
    <t>Nguồn năm 2025</t>
  </si>
  <si>
    <t>Chương trình MTQG xây dựng NTM (Nguồn đầu tư)</t>
  </si>
  <si>
    <t>Về việc phân bổ kinh phí hỗ trợ từ nguồn dự phòng ngân sách Trung ương cho một số đơn vị, địa phương thực hiện nhiệm vụ (thực hiện sắp xếp đơn vị hành chính cấp xã theo Nghị quyết số 76/2025/UBTVQH15 ngày 14/4/2025 
của Ủy ban Thường vụ Quốc hội)</t>
  </si>
  <si>
    <t>8</t>
  </si>
  <si>
    <t>BÁO CÁO TÌNH HÌNH SỬ DỤNG NGUỒN BỔ SUNG CÓ MỤC TIÊU TỪ NGÂN SÁCH TỈNH NĂM 2025</t>
  </si>
  <si>
    <t>Kinh phí quy hoạch chung</t>
  </si>
  <si>
    <t>Chương trình MTQG xây dựng nông thôn mới nguồn năm 2024 chuyển sang năm 2025</t>
  </si>
  <si>
    <t>Đường giao thông nông thôn nội thôn Nà Vịt, xã Nông Thượng (Mã DA: 8122848)</t>
  </si>
  <si>
    <t>Nguồn địa phương (20492)</t>
  </si>
  <si>
    <t>Nguồn Trung ương (10492)</t>
  </si>
  <si>
    <t>Xây dựng đường nội thôn Nà Quáng - Nà Kéo, thôn Nà Chuông, xã Nông Thượng (Mã DA: 8093739)</t>
  </si>
  <si>
    <t>Xây dựng đường nội thôn Khuổi Chang (tuyến từ nhà ông Cường đến nhà ông Hoạt). Mã DA: 8093452</t>
  </si>
  <si>
    <t>Xây dựng rãnh thoát nước Tân Thành - Khuổi Chang (Mã DA 8093741)</t>
  </si>
  <si>
    <t>Xây dựng đường ngõ xóm Bản Vá, thôn Nà Chuông (Mã DA: 8093551)</t>
  </si>
  <si>
    <t>Xây dựng đường nội thôn Khuổi Chang (tuyến từ nhà ông Nàm đến nhà ông Báo). Mã DA: 8093296</t>
  </si>
  <si>
    <t>Xây dựng đường nội thôn Khuổi Chang (tuyến từ nhà ông Cường đến nhà ông Hoạt) Mã DA: 8093452</t>
  </si>
  <si>
    <t>Kinh phí mua BHYT cho các đối tượng chính sách BTXH</t>
  </si>
  <si>
    <t>Cải tạo, nâng cấp đường từ Quốc lộ 3 lên đồi Chánh Sứ, tỉnh Bắc Kạn (nguồn năm 2024 chuyển sang năm 2025)</t>
  </si>
  <si>
    <t>Chương trình MTQG xây dựng nông thôn mới nguồn 2025</t>
  </si>
  <si>
    <t>Chương trình MTQG phát triển KT-XH vùng đồng bào dân tộc thiểu số và miền núi</t>
  </si>
  <si>
    <t>BÁO CÁO CHI TIẾT KẾT DƯ NĂM 2025</t>
  </si>
  <si>
    <t>QUYẾT TOÁN THU CHI NGUỒN THU QUẢN LÝ QUA NSNN NĂM 2025</t>
  </si>
  <si>
    <t>CHI TIẾT THU KHÁC NGÂN SÁCH NĂM 2025</t>
  </si>
  <si>
    <t>Các khoản đóng góp tự nguyện</t>
  </si>
  <si>
    <t>Bắc Kạn, ngày …... tháng 3 năm 2026</t>
  </si>
  <si>
    <t xml:space="preserve">Hỗ trợ địa phương khác khắc phục hậu quả thiên tai do cơn bão số 11 (MATMO) gây ra </t>
  </si>
  <si>
    <t>K có</t>
  </si>
  <si>
    <t>BÁO CÁO TÌNH HÌNH KIỂM TOÁN, THANH TRA NĂM 2025</t>
  </si>
  <si>
    <t>Triển khai Chương trình mỗi xã một sản phẩm (OCOP) gắn với lợi thế vùng miền, thành lập Trung tâm OCOP quốc gia; phát triển tiểu thủ công nghiệp, ngành nghề và dịch vụ nông thôn, bảo tồn và phát huy các làng nghề truyền thống ở nông thôn; đẩy mạnh sản xuất, chế biến theo chuỗi giá trị</t>
  </si>
  <si>
    <t>Thực hiện Chương trình Phát triển du lịch nông thôn trong xây dựng nông thôn mới gắn với bảo tồn và phát huy các giá trị văn hóa truyền thống theo hướng bền vững, bao trùm và đa giá trị.</t>
  </si>
  <si>
    <t>Nâng cao hiệu quả hoạt động của hệ thống thiết chế văn hóa, thể thao cơ sở</t>
  </si>
  <si>
    <t>Nâng cao chất lượng và hiệu quả công tác kiểm tra, giám sát, đánh giá kết quả thực hiện Chương trình; xây dựng hệ thống giám sát, đánh giá đồng bộ, toàn diện đáp ứng yêu cầu quản lý Chương trình, đặc biệt xây dựng hệ thống giám sát thông qua bản đồ số và cơ sở dữ liệu; nhân rộng mô hình giám sát an ninh hiện đại và giám sát của cộng đồng</t>
  </si>
  <si>
    <t>Tiểu dự án 1: Nâng cao năng lực thực hiện Chương trình</t>
  </si>
  <si>
    <t>Tiểu dự án 2: Giám sát, đánh giá</t>
  </si>
  <si>
    <t>Tiểu dự án 1: Giảm nghèo về thông tin</t>
  </si>
  <si>
    <t>Tiểu dự án 2: Truyền thông về giảm nghèo đa chiều</t>
  </si>
  <si>
    <t>Tiểu dự án 2: Hỗ trợ người LĐ đi làm việc ở nước ngoài theo hợp đồng</t>
  </si>
  <si>
    <t>Tiểu dự án 3: Hỗ trợ việc làm bền vững</t>
  </si>
  <si>
    <t>Dự án 3.  Hỗ trợ phát triển sản xuất (Tiểu dự án 2: Cải thiện dinh dưỡng)</t>
  </si>
  <si>
    <t>Tiểu dự án 2: Giảm thiểu tình trạng tảo hôn và hôn nhân cận huyết thống trong vùng đồng bào dân tộc thiểu số và miền núi</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</si>
  <si>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MTQG phát triển kinh tế - xã hội vùng đồng bào DTTS và miền núi giai đoạn 2021-2030</t>
  </si>
  <si>
    <t>Tiểu dự án 3: Kiểm tra, giám sát, đánh giá, đào tạo, tập huấn tổ chức thực hiện Chương trình</t>
  </si>
  <si>
    <t>(Ký tên và đóng dấu)</t>
  </si>
  <si>
    <t>Các khoản ghi thu, ghi chi vào ngân sách</t>
  </si>
  <si>
    <t>Chi tiết:....</t>
  </si>
  <si>
    <t xml:space="preserve">           ….</t>
  </si>
  <si>
    <t xml:space="preserve">Số chi sai chế độ phải xuất toán </t>
  </si>
  <si>
    <t>Nộp trả ngân sách:</t>
  </si>
  <si>
    <t>Trong đó: - Xây dựng cơ bản</t>
  </si>
  <si>
    <t xml:space="preserve">               - Chi thường xuyên</t>
  </si>
  <si>
    <t xml:space="preserve">Cơ quan tài chính giảm trừ cấp phát </t>
  </si>
  <si>
    <t xml:space="preserve">                - Chi thường xuyên </t>
  </si>
  <si>
    <t>Bổ sung quyết toán ngân sách năm nay</t>
  </si>
  <si>
    <t xml:space="preserve">                - Chi thường xuyên</t>
  </si>
  <si>
    <t xml:space="preserve">Kiến nghị của kiểm toán, thanh tra năm nay </t>
  </si>
  <si>
    <t>Chi tiết: ....</t>
  </si>
  <si>
    <t xml:space="preserve">             …</t>
  </si>
  <si>
    <r>
      <t>Chi tiết:</t>
    </r>
    <r>
      <rPr>
        <sz val="12"/>
        <color indexed="8"/>
        <rFont val="Times New Roman"/>
        <family val="1"/>
      </rPr>
      <t>....</t>
    </r>
  </si>
  <si>
    <t xml:space="preserve">           …</t>
  </si>
  <si>
    <t>Số chi sai chế độ phải xuất toán</t>
  </si>
  <si>
    <t>Chuyển quyết toán ngân sách năm sau</t>
  </si>
  <si>
    <t>Các vấn đề khác liên quan cần giải trình</t>
  </si>
  <si>
    <t>Số xử lý năm 2025</t>
  </si>
  <si>
    <t>Kiến nghị của Kiểm toán nhà nước tại Báo cáo kiểm toán ngân sách địa phương năm 2023 và Kế hoạch số 23/KH-UBND ngày 22/01/2026 của UBND tỉnh  là 151.016,768 nghìn đồng thuộc trách nhiệm của Ban Quản lý dự án ĐTXD thành phố Bắc Kạn (nay là BQLDA khu vực VIII trực thuộc Ban Quản lý dự án đầu tư xây dựng công trình Giao thông và Nông nghiệp phía Bắc) và Ban Quản lý dịch vụ công ích đô thị thành phố Bắc Kạn (trước sáp nhập).</t>
  </si>
  <si>
    <t>Đến nay, các đơn vị đã đôn đốc nhà thầu thực hiện nộp trả xong NSNN với tổng số tiền là 151.016.768 đồng</t>
  </si>
  <si>
    <t>Số đã chi 6 tháng đầu năm</t>
  </si>
  <si>
    <t>Số chi 6 tháng cuối năm</t>
  </si>
  <si>
    <t xml:space="preserve">Kinh phí hỗ trợ cho các địa phương khắc phục hậu quả thiên tai do cơn bão số 11 (Matmo) gây ra </t>
  </si>
  <si>
    <t>Kinh phí thực hiện khắc phục hậu quả sau mưa trên địa bàn phường năm 2025</t>
  </si>
  <si>
    <t xml:space="preserve">Kinh phí thực hiện chính sách bảo trợ xã hội theo Nghị định số 20/2021/NĐ-CP ngày 15/3/2021 và Nghị định số 76/2024/NĐ-CP ngày 01/7/2024 của Chính phủ năm 2025 </t>
  </si>
  <si>
    <t>Quyết định số 731/QĐ-UBND ngày 21/10/2025 của UBND phường Bắc Kạn</t>
  </si>
  <si>
    <t>Quyết định số 732/QĐ-UBND ngày 21/10/2025 của UBND phường Bắc Kạn</t>
  </si>
  <si>
    <t>Quyết định số 672/QĐ-UBND ngày 10/10/2025 của UBND phường Bắc Kạn ngày 31/12/2024</t>
  </si>
  <si>
    <t>Phân tích lại</t>
  </si>
  <si>
    <t>Kinh phí hỗ trợ học tập học sinh theo NĐ 57/2017</t>
  </si>
  <si>
    <t xml:space="preserve">Các nhiệm vụ, chế độ, chính sách </t>
  </si>
  <si>
    <t>Chi thường xuyên khác</t>
  </si>
  <si>
    <t>Biểu số 64-TT342</t>
  </si>
  <si>
    <t>Biểu số 65-TT342</t>
  </si>
  <si>
    <t>- Số biên chế tăng, giảm</t>
  </si>
  <si>
    <t>- Số kinh phí tăng, giảm</t>
  </si>
  <si>
    <t xml:space="preserve">Mua sắm tài sản </t>
  </si>
  <si>
    <t>Trong đó: - Số ô tô</t>
  </si>
  <si>
    <t xml:space="preserve">               - Số kinh phí </t>
  </si>
  <si>
    <t>Sửa chữa trụ sở làm việc</t>
  </si>
  <si>
    <t>Điều chỉnh giảm trong năm</t>
  </si>
  <si>
    <t>- Phụ cấp khu vực</t>
  </si>
  <si>
    <t>Số dự toán</t>
  </si>
  <si>
    <t>Tiểu dự án 2: Bồi dưỡng kiến thức dân tộc; đào tạo dự bị đại học, đại học và sau đại học đáp ứng nhu cầu nhân lực cho vùng đồng bào DTTS</t>
  </si>
  <si>
    <t>Tiểu dự án 3: Dự án phát triển giáo dục nghề nghiệp và giải quyết việc làm cho người lao động vùng dân tộc thiểu số và miền núi</t>
  </si>
  <si>
    <t>Tiểu dự án 4: Đào tạo nâng cao năng lực cho cộng đồng và cán bộ triển khai Chương trình ở các cấp</t>
  </si>
  <si>
    <t>QT 3CT</t>
  </si>
  <si>
    <t>DT_QT GNBV</t>
  </si>
  <si>
    <t>Kinh phí thực hiện xây dựng xã hội học tập theo Nghị quyết số 19/2022/NQ-HĐND của HĐND tỉnh</t>
  </si>
  <si>
    <t>Kinh phí đào tạo, bồi dưỡng giáo viên trên địa bàn tỉnh theo Nghị quyết số 16/2022/NQ-HĐND của HĐND tỉnh</t>
  </si>
  <si>
    <t>Kinh phí mua sắm trang thiết bị các trường học</t>
  </si>
  <si>
    <t>Kinh phí  thực hiện chính sách phát triển giáo dục mầm non ngoài công lập theo Nghị quyết số 02/2024/NQ-HĐND ngày 28/3/2024</t>
  </si>
  <si>
    <t>Kinh phí thực hiện Dự án liên kết trong sản xuất và tiêu thụ sản phẩm nông nghiệp thực hiện theo Nghị quyết số 01/2022/NQ-HĐND ngày 27/4/2022</t>
  </si>
  <si>
    <t>Hỗ trợ kinh phí tổ chức Đại hội đảng các cấp nhiệm kỳ 2025 - 2030</t>
  </si>
  <si>
    <t>Miễn giảm học phí, hỗ trợ chi phí học tập theo Nghị định số 238/2025/NĐ-CP ngày 3/9/2025 của Chính phủ</t>
  </si>
  <si>
    <t>Chính sách nội trú theo Nghị định số 116/2016/NĐ-CP ngày 18/07/2016 và Nghị định số 66/2025/NĐ-CP ngày 12/3/2025 của Chính phủ</t>
  </si>
  <si>
    <t xml:space="preserve">Chính sách bảo trợ xã hội theo Nghị định số 20/2021/NĐ-CP ngày 15/03/2021 của Chính phủ </t>
  </si>
  <si>
    <t>Trợ cấp hưu trí xã hội theo Nghị định  176/2025/NĐ-CP ngày 30/6/2025 của Chính phủ</t>
  </si>
  <si>
    <t>Kinh phí hỗ trợ dạy và học tiếng Anh lớp 1, lớp 2 theo Nghị quyết số 20/2025/NQ-HĐND ngày 29/8/2025 của HĐND tỉnh Thái Nguyên</t>
  </si>
  <si>
    <t>Kinh phí hỗ trợ tổ chức nấu ăn theo Nghị quyết số 16/2025/NQ-HĐND ngày 29/8/2025 của HĐND tỉnh Thái Nguyên</t>
  </si>
  <si>
    <t>Kinh phí thực hiện hỗ trợ giáo viên dạy trẻ khuyết tật theo Nghị định số 28/2012/NĐ-CP ngày 10/4/2012 của Chính phủ</t>
  </si>
  <si>
    <t>Kinh phí Hợp đồng 111 giáo dục</t>
  </si>
  <si>
    <t>Kinh phí tiền lương và các khoản phụ cấp cho giáo viên thăng hạng</t>
  </si>
  <si>
    <t>Phụ lục số 02/TW</t>
  </si>
  <si>
    <t>TỔNG HỢP KINH PHÍ THỰC HIỆN HỖ TRỢ CHI PHÍ HỌC TẬP VÀ CẤP BÙ HỌC PHÍ THEO NGHỊ ĐỊNH 81/2021/NĐ-CP, 
NGHỊ ĐỊNH SỐ 238/2025/NĐ-CP NĂM 2025</t>
  </si>
  <si>
    <t>Kinh phí đã bố trí trong định mức chi NSĐP năm 2025</t>
  </si>
  <si>
    <t>Tổng kinh phí thực hiện chính sách</t>
  </si>
  <si>
    <t>Kết quả thực hiện Kỳ II năm học 2024 - 2025</t>
  </si>
  <si>
    <t>Kết quả thực hiện Kỳ I năm học 2025 - 2026</t>
  </si>
  <si>
    <t>Số đối tượng</t>
  </si>
  <si>
    <t>1=3+5</t>
  </si>
  <si>
    <t>QT</t>
  </si>
  <si>
    <t>Hỗ trợ chi phí học tập và miễn giảm học phí theo quy định tại Nghị định số 81/2021/NĐ-CP ngày 27/8/2021</t>
  </si>
  <si>
    <t>Hỗ trợ chi phí học tập</t>
  </si>
  <si>
    <t>Đầu năm</t>
  </si>
  <si>
    <t>Trường Mầm non Nông Thượng</t>
  </si>
  <si>
    <t>Trường Mầm non Xuất Hóa</t>
  </si>
  <si>
    <t>Trường Mầm non Phùng Chí Kiên</t>
  </si>
  <si>
    <t>Trường Mầm non Sông Cầu</t>
  </si>
  <si>
    <t>Trường TH Phùng Chí Kiên</t>
  </si>
  <si>
    <t>Trường TH Sông Cầu</t>
  </si>
  <si>
    <t>Trường TH&amp;THCS Xuất Hóa</t>
  </si>
  <si>
    <t>Trường THCS Bắc Kạn</t>
  </si>
  <si>
    <t>Trường TH&amp;THCS Nông Thượng</t>
  </si>
  <si>
    <t>Phòng VHXH</t>
  </si>
  <si>
    <t>Miễn học phí, giảm học phí</t>
  </si>
  <si>
    <t>Miễn học phí</t>
  </si>
  <si>
    <t>Giảm học phí</t>
  </si>
  <si>
    <t>Giảm 70%</t>
  </si>
  <si>
    <t>Giảm 50% học phí</t>
  </si>
  <si>
    <t>Tổng dự toán</t>
  </si>
  <si>
    <t>BS trong năm lần 1</t>
  </si>
  <si>
    <t>BS trong năm lần 2</t>
  </si>
  <si>
    <t>Tổng bs trong năm</t>
  </si>
  <si>
    <t>Nguồn bổ sung có mục tiêu trong năm</t>
  </si>
  <si>
    <t>Hoàn trả</t>
  </si>
  <si>
    <t>Từ nguồn năm trc</t>
  </si>
  <si>
    <t>Từ nguồn bs trong năm</t>
  </si>
  <si>
    <t>Tổng CN</t>
  </si>
  <si>
    <t>Quyết định số 1015/QĐ-UBND ngày của UBND tỉnh; Quyết định số 88/QĐ-UBND ngày 29/01/2026 của UBND phường</t>
  </si>
  <si>
    <t>Quyết định số 2579/QĐ-UBND ngày 30/12/2025 của UBND tỉnh; Quyết định số 88/QĐ-UBND ngày 29/01/2026 của UBND phường</t>
  </si>
  <si>
    <t>Quyết định số 1569/QĐ-UBND ngày 18/10/2025 của UBND tỉnh; Quyết định số 88/QĐ-UBND ngày 29/01/2026 của UBND phường</t>
  </si>
  <si>
    <t>Quyết định số 994/QĐ-UBND ngày 30/8/2025 của UBND tỉnh; Quyết định số 88/QĐ-UBND ngày 29/01/2026 của UBND phường</t>
  </si>
  <si>
    <t>Quyết định số 933/QĐ-UBND ngày 29/8/2025 của UBND tỉnh; Quyết định số 88/QĐ-UBND ngày 29/01/2026 của UBND phường</t>
  </si>
  <si>
    <t>(Kèm theo Công văn số            /STC-TH&amp;QLNS  ngày         tháng  3 năm 2026 của Sở Tài chính Thái Nguyên)</t>
  </si>
  <si>
    <t>Mẫu biểu số 48</t>
  </si>
  <si>
    <t>Quyết toán cân đối ngân sách địa phương năm 2025</t>
  </si>
  <si>
    <t>Mẫu biểu số 49</t>
  </si>
  <si>
    <t>Quyết toán cân đối nguồn thu, chi ngân sách cấp tỉnh (huyện) và ngân sách huyện (xã) năm ….</t>
  </si>
  <si>
    <t>Mẫu biểu số 50</t>
  </si>
  <si>
    <t>Quyết toán nguồn thu ngân sách nhà nước trên địa bàn theo lĩnh vực năm 2025</t>
  </si>
  <si>
    <t>Mẫu biểu số 51</t>
  </si>
  <si>
    <t>Quyết toán chi ngân sách địa phương theo lĩnh vực năm 2025</t>
  </si>
  <si>
    <t>Mẫu biểu số 52</t>
  </si>
  <si>
    <t>Quyết toán chi ngân sách cấp tỉnh (huyện, xã) theo lĩnh vực năm 2025</t>
  </si>
  <si>
    <t>Mẫu biểu số 53</t>
  </si>
  <si>
    <t>Quyết toán chi ngân sách địa phương, chi ngân sách cấp tỉnh (huyện) và chi ngân sách huyện (xã) theo cơ cấu chi năm 2025</t>
  </si>
  <si>
    <t>Mẫu biểu số 54</t>
  </si>
  <si>
    <t>Quyết toán chi ngân sách cấp tỉnh (huyện, xã) cho từng cơ quan, tổ chức theo lĩnh vực năm 2025</t>
  </si>
  <si>
    <t>Mẫu biểu số 55</t>
  </si>
  <si>
    <t>Quyết toán chi đầu tư phát triển của ngân sách cấp tỉnh (huyện, xã) cho từng cơ quan, tổ chức theo lĩnh vực năm 2025</t>
  </si>
  <si>
    <t>Mẫu biểu số 56</t>
  </si>
  <si>
    <t>Quyết toán chi thường xuyên của ngân sách cấp tỉnh (huyện, xã) cho từng cơ quan, tổ chức theo lĩnh vực năm 2025</t>
  </si>
  <si>
    <t>Mẫu biểu số 57</t>
  </si>
  <si>
    <t>Tổng hợp quyết toán chi thường xuyên ngân sách cấp tỉnh (huyện, xã) của từng cơ quan, tổ chức theo nguồn vốn năm 2025</t>
  </si>
  <si>
    <t>Mẫu biểu số 58</t>
  </si>
  <si>
    <t>Quyết toán chi ngân sách địa phương từng huyện (xã) năm 2025</t>
  </si>
  <si>
    <t>Cấp xã không thực hiện</t>
  </si>
  <si>
    <t>Mẫu biểu số 59</t>
  </si>
  <si>
    <t>Quyết toán chi bổ sung từ ngân sách cấp tỉnh (huyện) cho ngân sách từng huyện (xã) năm …</t>
  </si>
  <si>
    <t>Quyết toán thu ngân sách huyện (xã) năm …</t>
  </si>
  <si>
    <t>Quyết toán chi chương trình mục tiêu quốc gia năm 2025</t>
  </si>
  <si>
    <t>Quyết toán vốn đầu tư chương trình, dự án sử dụng vốn ngân sách nhà nước năm 2025</t>
  </si>
  <si>
    <t>Tổng hợp các quỹ tài chính nhà nước ngoài ngân sách do địa phương quản lý năm 2025</t>
  </si>
  <si>
    <t>Tổng hợp thu dịch vụ của đơn vị sự nghiệp công năm 2025 (không bao gồm nguồn ngân sách nhà nước)</t>
  </si>
  <si>
    <t>BÁO CÁO CHI CHUYỂN NGUỒN SANG NĂM SAU NĂM 2025</t>
  </si>
  <si>
    <t>Về việc trích ngân sách tỉnh năm 2025 bổ sung kinh phí cho các đơn vị, địa phương thực hiện các chế độ, chính sách an sinh xã hội tăng thêm năm 2025 do Trung ương đảm bảo</t>
  </si>
  <si>
    <t>Về việc trích ngân sách tỉnh năm 2025 bổ sung kinh phí cho các đơn vị, địa phương để thực hiện các chế độ, chính sách an sinh xã hội tăng thêm năm 2025 do ngân sách địa phương đảm bảo</t>
  </si>
  <si>
    <t>Cải tạo nâng cấp trường TH&amp;THCS Nông Thượng, thành phố Bắc Kạn</t>
  </si>
  <si>
    <t xml:space="preserve">Kinh phí thực hiện miễn giảm học phí, hỗ trợ chi phí học tập theo Nghị định số 238/2025/NĐ-CP ngày 3/9/2025 của Chính phủ </t>
  </si>
  <si>
    <t>Kinh phí thực hiện chính sách bảo trợ xã hội theo Nghị định số 20/2021/NĐ-CP ngày 15/03/2021 của Chính phủ</t>
  </si>
  <si>
    <t>Quyết định số 2634/QĐ-UBND ngày 31/12/2025 của UBND tỉnh</t>
  </si>
  <si>
    <t>Quyết định số 2695/QĐ-UBND ngày 31/12/2025 của UBND tỉnh</t>
  </si>
  <si>
    <t>Quyết định số 2798/QĐ-UBND ngày 31/12/2025 của UBND tỉnh</t>
  </si>
  <si>
    <t>Quyết định số 1722/QĐ-UBND ngày 31/10/2025 của UBND tỉnh</t>
  </si>
  <si>
    <t>Quyết định số 1613/QĐ-UBND ngày 23/10/2025 của UBND tỉnh</t>
  </si>
  <si>
    <t>Quyết định số 1017/QĐ-UBND ngày 31/8/2025 của UBND tỉnh</t>
  </si>
  <si>
    <t>Quyết định số 1017/QĐ-UBND ngày29/9/2025 của UBND tỉnh</t>
  </si>
  <si>
    <t>Quyết định số 993/QĐ-UBND ngày 30/8/2025 của UBND tỉnh</t>
  </si>
  <si>
    <t>Quyết định số 930/QĐ-UBND ngày 29/8/2025 của UBND tỉnh</t>
  </si>
  <si>
    <t>Quyết định số 879/QĐ-UBND ngày 22/8/2025 của UBND tỉnh</t>
  </si>
  <si>
    <t>Quyết định số 1628/QĐ-UBND ngày 24/10/2025 của UBND tỉnh</t>
  </si>
  <si>
    <t>Quyết định số 1370/QĐ-UBND ngày 03/10/2025 của UBND tỉnh</t>
  </si>
  <si>
    <t>Quyết định số 1013/QĐ-UBND ngày 30/8/2025 của UBND tỉnh</t>
  </si>
  <si>
    <t>Quyết định số 2599/QĐ-UBND ngày 30/12/2025 của UBND tỉnh</t>
  </si>
  <si>
    <t>QĐ số 1015 ngày 30/8/2025 của UBND tỉnh</t>
  </si>
  <si>
    <t>Trường TH &amp;THCS Xuất Hóa</t>
  </si>
  <si>
    <t>Trường MN Sông Cầu</t>
  </si>
  <si>
    <t>5.3</t>
  </si>
  <si>
    <t>Trường MN Chí Kiên</t>
  </si>
  <si>
    <t>Trường MN Nông Thượng</t>
  </si>
  <si>
    <t xml:space="preserve">Cải cách tiền lương từ cấp bù học phí </t>
  </si>
  <si>
    <t>Trường MN Xuất Hóa</t>
  </si>
  <si>
    <t>Nguồn phường chưa phân bổ</t>
  </si>
  <si>
    <t>Nguồn đã cấp cho đơn vị</t>
  </si>
  <si>
    <t xml:space="preserve"> +</t>
  </si>
  <si>
    <t xml:space="preserve"> </t>
  </si>
  <si>
    <t>Nguồn ngân sách phường</t>
  </si>
  <si>
    <t>Trung tâm dịch vụ tổng hợp phường</t>
  </si>
  <si>
    <t>Kinh phí khắc phục khẩn cấp hậu quả cơn bão số 11, đảm bảo giao thông trên các tuyến đường Bắc Kạn, tỉnh Thái Nguyên</t>
  </si>
  <si>
    <t>Kinh phí thực hiện nhiệm vụ quy hoạch, chỉnh lý, lưu trữ, số hóa tài liệu, mua sắm trang thiết bị, phương tiện làm việc</t>
  </si>
  <si>
    <t>Kinh phí công trình chuyển tiếp từ cấp huyện chuyển về và hỗ trợ các công trình, nhiệm vụ của đại phương</t>
  </si>
  <si>
    <t xml:space="preserve">Các chính sách an sinh xã hội do địa phương đảm bảo </t>
  </si>
  <si>
    <t>Quyết định số 2683/QĐ-UBND ngày 31/12/2025 của UBND tỉnh</t>
  </si>
  <si>
    <t>Nguồn Cải cách tiền lương năm trước chuyển sang</t>
  </si>
  <si>
    <t xml:space="preserve">Nguồn tăng thu ngân sách thực hiện cải cách tiền lương </t>
  </si>
  <si>
    <t>Nguồn điều hành chưa phân bổ</t>
  </si>
  <si>
    <t>Nguồn tăng thu, tiết kiệm chi năm 2024 chuyển nguồn sang năm 2025 của xã cũ dư không sử dụng hết do sắp xếp đơn vị hành chính</t>
  </si>
  <si>
    <t>Nguồn tăng thu, tiết kiệm chi từ kinh phí được giao tự chủ của các đơn vị sự nghiệp công lập và các cơ quan nhà nước; các khoản viện trợ không hoàn lại đã xác định cụ thể nhiệm vụ chi năm 2024 chuyển nguồn sang năm 2025 k sử dụng</t>
  </si>
  <si>
    <t>Kinh phí còn dư tại đơn vị cấp phường (sau duyệt QT)</t>
  </si>
  <si>
    <t>Nguồn tăng thu cân đối ngân sách</t>
  </si>
  <si>
    <t>Dự án 4, Tiểu dự án 2: Hỗ trợ người LĐ đi làm việc ở nước ngoài theo hợp đồng</t>
  </si>
  <si>
    <t xml:space="preserve"> - Kinh phí thực hiện Chương trình mục tiêu quốc gia ggirm nghèo bền vững (Vốn sự nghiệp)</t>
  </si>
  <si>
    <t>Dự án 4, Tiểu dự án 3: Hỗ trợ việc làm bền vững</t>
  </si>
  <si>
    <t>Dự án 3, Tiểu dự án 2: Hỗ trợ phát triển sản xuất, cải thiện dinh dưỡng</t>
  </si>
  <si>
    <t>Dự án 7, Tiểu dự án 2: Giám sát, đánh giá</t>
  </si>
  <si>
    <t xml:space="preserve">Dự án 5, Tiểu dự án 3: Dự án phát triển giáo dục nghề nghiệp và giải quyết việc làm cho người lao động vùng dân tộc thiểu số và miền núi </t>
  </si>
  <si>
    <t>Kinh phí Chương trình MTQG phát triển kinh tế- xã hội vùng đồng bào DTTS và miền núi (Vốn sự nghiệp)</t>
  </si>
  <si>
    <t>Dự án 10, 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 giai đoạn 2021-2030</t>
  </si>
  <si>
    <t>Kinh phí Chương trình MTQG xây dựng nông thôn mới</t>
  </si>
  <si>
    <t>Nội dung thành phần số III: Tiếp tục thực hiện có hiệu quả cơ cấu lại ngành nông nghiệp, phát triển kinh tế nông thôn: Triển khai Chương trình mỗi xã một sản phẩm (OCOP)</t>
  </si>
  <si>
    <t>Khắc phục khẩn cấp hậu quả cơn bão số 11, đảm bảo giao thông trên các tuyến đường phường Bắc Kạn, tỉnh Thái Nguyên</t>
  </si>
  <si>
    <t>Kinh phí hỗ trợ các hộ bị ảnh hưởng của trận mưa ngày 24/8/2025</t>
  </si>
  <si>
    <t>Kinh phí hỗ trợ tiền điện hộ nghèo năm 2025</t>
  </si>
  <si>
    <t>Quyết định số 1062/QĐ-UBND ngày 26/12/2025 của UBND phường Bắc Kạn</t>
  </si>
  <si>
    <t xml:space="preserve"> - Từ nguồn tiết kiệm chi</t>
  </si>
  <si>
    <t>Trong đó: Từ nguồn dự phòng</t>
  </si>
  <si>
    <t xml:space="preserve"> - Nguồn sự nghiệp kinh tế</t>
  </si>
  <si>
    <t>Kinh phí hỗ trợ các hộ bị ảnh hưởng của cơn bão số 11 ngày 06/10/2025</t>
  </si>
  <si>
    <t xml:space="preserve">Kinh phí hỗ trợ cho các hộ gia đình bị thiệt hại về cây trồng, thủy sản và gia súc, gia cầm để khôi phục sản xuất do cơn bão số 10,11 gây ra </t>
  </si>
  <si>
    <t>Quyết định số 1569/QĐ-UBND ngày 18/10/2025 của UBND tỉnh</t>
  </si>
  <si>
    <t>Chuyển nguồn</t>
  </si>
  <si>
    <t>Nộp trả ngân sách tỉnh</t>
  </si>
  <si>
    <t>Chi đảm bảo xã hội</t>
  </si>
  <si>
    <t>Biểu số 62.2-NĐ31</t>
  </si>
  <si>
    <t>QUYẾT TOÁN VỐN ĐẦU TƯ CÁC CHƯƠNG TRÌNH, DỰ ÁN CÒN DƯ VỐN TẠM ỨNG CHƯA THU HỒI TỪ CÁC NĂM TRƯỚC CHUYỂN SANG NĂM QUYẾT TOÁN (2025)</t>
  </si>
  <si>
    <t>Dự  toán chuyển nguồn sang năm 2025</t>
  </si>
  <si>
    <t>TỔNG</t>
  </si>
  <si>
    <t>2403/QĐ-UBND ngày 09/11/2022
1165/QĐ-UBND ngày 02/5/2024</t>
  </si>
  <si>
    <t>2187/QĐ-UBND ngày 30/10/2018</t>
  </si>
  <si>
    <t>Biểu số 62.1-NĐ31</t>
  </si>
  <si>
    <t>Phòng VHXH phường Bắc Kạn</t>
  </si>
  <si>
    <t>Phòng Giáo dục và Đào tạo TP Bắc Kạn (trước sắp xếp)</t>
  </si>
  <si>
    <t>Trích 40% thực hiện CCTL năm 2025</t>
  </si>
  <si>
    <t>Kinh phí hỗ trợ tiền điện cho hộ nghèo, hộ chính sách xã hội</t>
  </si>
  <si>
    <t>Chính sách hỗ trợ đối tượng bảo trợ xã hội theo NĐ 20/2021/NĐ-CP</t>
  </si>
  <si>
    <t>Nguồn trong cân đối đầu năm</t>
  </si>
  <si>
    <t>Bổ sung có mục tiêu đầu năm nguồn TW</t>
  </si>
  <si>
    <t>Chính sách phát triển giáo dục mầm non theo Nghị định 105/2020/NĐ-CP</t>
  </si>
  <si>
    <t>Chính sách về giáo dục với người khuyết tật theo TT 42</t>
  </si>
  <si>
    <t>Kinh phí hỗ trợ học sinh theo Nghị định 116/2016/NĐ-CP và Nghị định 66/2025/NĐ-CP</t>
  </si>
  <si>
    <t>Kinh phí thực hiện hỗ trợ chi phí học tập và miễn giảm học phí theo Nghị định số 81/2021/NĐ-CP và Nghị định 238/2025/NĐ-CP</t>
  </si>
  <si>
    <t>Kinh phí hỗ trợ giáo viên dạy học sinh khuyết tật theo Nghị định số 28/2012/NĐ-CP</t>
  </si>
  <si>
    <t>Kinh phí hỗ trợ sản phẩm, dịch vụ công ích thủy lợi</t>
  </si>
  <si>
    <t>BHYT cho đối tượng BTXH</t>
  </si>
  <si>
    <t>BHYT đối với: Cựu chiến binh; Thanh niên xung phong, Dân công hỏa tuyến và theo Quyết định số 290/2005/QĐ-TTG, Quyết định số 62/2011/QĐ-TTg của Thủ tướng Chính phủ</t>
  </si>
  <si>
    <t xml:space="preserve">Chính sách hỗ trợ giáo viên dạy thể dục ngoài trời theo Quyết định số 51/2012/QĐ-TTg </t>
  </si>
  <si>
    <t>Chính sách ưu tiên tuyển sinh và hỗ trợ học tập đối với dân tộc thiểu số rất ít người theo Nghị định số 57/2017/NĐ-CP</t>
  </si>
  <si>
    <t>Bắc Kạn, ngày  27  tháng  3 năm 2026</t>
  </si>
  <si>
    <t>Ngày   27   tháng  3  năm 2026</t>
  </si>
  <si>
    <t xml:space="preserve"> Bắc Kạn, ngày   27   tháng  3 năm 2026</t>
  </si>
  <si>
    <t>Bắc Kạn, ngày    27    tháng  3  năm 2026</t>
  </si>
  <si>
    <t>Ngày    27   tháng  3   năm 2026</t>
  </si>
  <si>
    <t>Ngày   27    tháng 3 năm 2026</t>
  </si>
  <si>
    <t>Ngày   27   tháng 3 năm 2026</t>
  </si>
  <si>
    <t>Bắc Kạn, ngày  27  tháng 3 năm 2026</t>
  </si>
  <si>
    <t>Bắc Kạn, ngày   27  tháng 3 năm 2026</t>
  </si>
  <si>
    <t>Bắc Kạn, ngày   27   tháng 3 năm 2026</t>
  </si>
  <si>
    <t>Bắc Kạn, ngày  27   tháng 3 năm 2026</t>
  </si>
  <si>
    <t>Bắc Kạn, ngày    27   tháng 3 năm 2026</t>
  </si>
  <si>
    <t>(Kèm theo Quyết định số          /QĐ-UBND ngày          /4/2026 của UBND phường Bắc Kạn)</t>
  </si>
  <si>
    <t>Phụ biểu số 01</t>
  </si>
  <si>
    <t>Phụ biểu số 02</t>
  </si>
  <si>
    <t>Phụ biểu số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</si>
</sst>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1">
    <numFmt numFmtId="41" formatCode="_(* #,##0_);_(* \(#,##0\);_(* &quot;-&quot;_);_(@_)"/>
    <numFmt numFmtId="43" formatCode="_(* #,##0.00_);_(* \(#,##0.00\);_(* &quot;-&quot;??_);_(@_)"/>
    <numFmt numFmtId="164" formatCode="_-* #,##0.00_-;\-* #,##0.00_-;_-* &quot;-&quot;??_-;_-@_-"/>
    <numFmt numFmtId="165" formatCode="_-* #,##0\ _₫_-;\-* #,##0\ _₫_-;_-* &quot;-&quot;\ _₫_-;_-@_-"/>
    <numFmt numFmtId="166" formatCode="_-* #,##0.00\ _₫_-;\-* #,##0.00\ _₫_-;_-* &quot;-&quot;??\ _₫_-;_-@_-"/>
    <numFmt numFmtId="167" formatCode="#,##0.0"/>
    <numFmt numFmtId="168" formatCode="_(* #,##0_);_(* \(#,##0\);_(* &quot;-&quot;??_);_(@_)"/>
    <numFmt numFmtId="169" formatCode="_(* #,##0.0_);_(* \(#,##0.0\);_(* &quot;-&quot;??_);_(@_)"/>
    <numFmt numFmtId="170" formatCode="#,###;[Red]\-#,###"/>
    <numFmt numFmtId="171" formatCode="0.0"/>
    <numFmt numFmtId="172" formatCode="#,###.00;[Red]\-#,###.00"/>
    <numFmt numFmtId="173" formatCode="_-* #,##0.0\ _₫_-;\-* #,##0.0\ _₫_-;_-* &quot;-&quot;?\ _₫_-;_-@_-"/>
    <numFmt numFmtId="174" formatCode="_-* #,##0.0\ _₫_-;\-* #,##0.0\ _₫_-;_-* &quot;-&quot;\ _₫_-;_-@_-"/>
    <numFmt numFmtId="175" formatCode="_(* #,##0.0_);_(* \(#,##0.0\);_(* &quot;-&quot;?_);_(@_)"/>
    <numFmt numFmtId="176" formatCode="_-* #,##0\ _₫_-;\-* #,##0\ _₫_-;_-* &quot;-&quot;??\ _₫_-;_-@_-"/>
    <numFmt numFmtId="177" formatCode="_-* #,##0.00\ _₫_-;\-* #,##0.00\ _₫_-;_-* &quot;-&quot;\ _₫_-;_-@_-"/>
    <numFmt numFmtId="178" formatCode="_-* #,##0.0000\ _₫_-;\-* #,##0.0000\ _₫_-;_-* &quot;-&quot;\ _₫_-;_-@_-"/>
    <numFmt numFmtId="179" formatCode="_(* #,##0.000_);_(* \(#,##0.000\);_(* &quot;-&quot;?_);_(@_)"/>
    <numFmt numFmtId="180" formatCode="_(* #,##0.000000_);_(* \(#,##0.000000\);_(* &quot;-&quot;??_);_(@_)"/>
    <numFmt numFmtId="181" formatCode="_(* #,##0.0000_);_(* \(#,##0.0000\);_(* &quot;-&quot;????_);_(@_)"/>
    <numFmt numFmtId="182" formatCode="_-* #,##0.000\ _₫_-;\-* #,##0.000\ _₫_-;_-* &quot;-&quot;\ _₫_-;_-@_-"/>
    <numFmt numFmtId="183" formatCode="#,##0.000"/>
    <numFmt numFmtId="184" formatCode="_-* #,##0.0\ _₫_-;\-* #,##0.0\ _₫_-;_-* &quot;-&quot;??\ _₫_-;_-@_-"/>
    <numFmt numFmtId="185" formatCode="#,##0.0000"/>
    <numFmt numFmtId="186" formatCode="_-* #,##0.0000\ _₫_-;\-* #,##0.0000\ _₫_-;_-* &quot;-&quot;??\ _₫_-;_-@_-"/>
    <numFmt numFmtId="187" formatCode="_-* #,##0.0000\ _₫_-;\-* #,##0.0000\ _₫_-;_-* &quot;-&quot;????\ _₫_-;_-@_-"/>
    <numFmt numFmtId="188" formatCode="_(* #,##0.00_);_(* \(#,##0.00\);_(* &quot;-&quot;?_);_(@_)"/>
    <numFmt numFmtId="189" formatCode="#,##0.00000"/>
    <numFmt numFmtId="190" formatCode="_-* #,##0.000\ _₫_-;\-* #,##0.000\ _₫_-;_-* &quot;-&quot;??\ _₫_-;_-@_-"/>
    <numFmt numFmtId="191" formatCode="_-* #,##0.000\ _₫_-;\-* #,##0.000\ _₫_-;_-* &quot;-&quot;???\ _₫_-;_-@_-"/>
    <numFmt numFmtId="192" formatCode="_-* #,##0.000\ _₫_-;\-* #,##0.000\ _₫_-;_-* &quot;-&quot;?\ _₫_-;_-@_-"/>
    <numFmt numFmtId="193" formatCode="#,##0.000000"/>
    <numFmt numFmtId="194" formatCode="_-* #,##0.000000\ _₫_-;\-* #,##0.000000\ _₫_-;_-* &quot;-&quot;\ _₫_-;_-@_-"/>
    <numFmt numFmtId="195" formatCode="0.000"/>
    <numFmt numFmtId="196" formatCode="0.00000"/>
    <numFmt numFmtId="197" formatCode="#,##0.0000000"/>
    <numFmt numFmtId="198" formatCode="0.000000000"/>
    <numFmt numFmtId="199" formatCode="_-* #,##0.00000\ _₫_-;\-* #,##0.00000\ _₫_-;_-* &quot;-&quot;\ _₫_-;_-@_-"/>
    <numFmt numFmtId="200" formatCode="_(* #,##0.0000000_);_(* \(#,##0.0000000\);_(* &quot;-&quot;??_);_(@_)"/>
    <numFmt numFmtId="201" formatCode="_-* #,##0.0000000_-;\-* #,##0.0000000_-;_-* &quot;-&quot;?_-;_-@_-"/>
    <numFmt numFmtId="202" formatCode="_(* #,##0.000_);_(* \(#,##0.000\);_(* &quot;-&quot;??_);_(@_)"/>
    <numFmt numFmtId="203" formatCode="_(* #,##0.00000_);_(* \(#,##0.00000\);_(* &quot;-&quot;??_);_(@_)"/>
    <numFmt numFmtId="204" formatCode="_-* #,##0.0000_-;\-* #,##0.0000_-;_-* &quot;-&quot;????_-;_-@_-"/>
    <numFmt numFmtId="205" formatCode="_-* #,##0.0_-;\-* #,##0.0_-;_-* &quot;-&quot;?_-;_-@_-"/>
    <numFmt numFmtId="206" formatCode="_-* #,##0.0_-;\-* #,##0.0_-;_-* &quot;-&quot;??_-;_-@_-"/>
    <numFmt numFmtId="207" formatCode="_-* #,##0.00000_-;\-* #,##0.00000_-;_-* &quot;-&quot;??_-;_-@_-"/>
    <numFmt numFmtId="208" formatCode="_-* #,##0.00000\ _₫_-;\-* #,##0.00000\ _₫_-;_-* &quot;-&quot;??\ _₫_-;_-@_-"/>
    <numFmt numFmtId="209" formatCode="_-* #,##0.000_-;\-* #,##0.000_-;_-* &quot;-&quot;???_-;_-@_-"/>
    <numFmt numFmtId="210" formatCode="_-* #,##0.0000000\ _₫_-;\-* #,##0.0000000\ _₫_-;_-* &quot;-&quot;\ _₫_-;_-@_-"/>
    <numFmt numFmtId="211" formatCode="0.00000000"/>
    <numFmt numFmtId="212" formatCode="_-* #,##0.000000\ _₫_-;\-* #,##0.000000\ _₫_-;_-* &quot;-&quot;??\ _₫_-;_-@_-"/>
    <numFmt numFmtId="213" formatCode="_-* #,##0.0000000\ _₫_-;\-* #,##0.0000000\ _₫_-;_-* &quot;-&quot;??\ _₫_-;_-@_-"/>
    <numFmt numFmtId="214" formatCode="_-* #,##0.00000_-;\-* #,##0.00000_-;_-* &quot;-&quot;????_-;_-@_-"/>
    <numFmt numFmtId="215" formatCode="_-* #,##0.00_-;\-* #,##0.00_-;_-* &quot;-&quot;?????_-;_-@_-"/>
    <numFmt numFmtId="216" formatCode="_-* #,##0.00000000_-;\-* #,##0.00000000_-;_-* &quot;-&quot;???_-;_-@_-"/>
    <numFmt numFmtId="217" formatCode="_-* #,##0.00000000_-;\-* #,##0.00000000_-;_-* &quot;-&quot;????????_-;_-@_-"/>
    <numFmt numFmtId="218" formatCode="0.0000000"/>
    <numFmt numFmtId="219" formatCode="_-* #,##0.0000000_-;\-* #,##0.0000000_-;_-* &quot;-&quot;???????_-;_-@_-"/>
    <numFmt numFmtId="220" formatCode="_-* #,##0.000000000_-;\-* #,##0.000000000_-;_-* &quot;-&quot;???_-;_-@_-"/>
    <numFmt numFmtId="221" formatCode="#,##0.000000000"/>
    <numFmt numFmtId="222" formatCode="_(* #,##0.0000000_);_(* \(#,##0.0000000\);_(* &quot;-&quot;?_);_(@_)"/>
    <numFmt numFmtId="223" formatCode="0.0000"/>
    <numFmt numFmtId="224" formatCode="_(* #,##0.000000_);_(* \(#,##0.000000\);_(* &quot;-&quot;??????_);_(@_)"/>
    <numFmt numFmtId="225" formatCode="_(* #,##0.0000000_);_(* \(#,##0.0000000\);_(* &quot;-&quot;???????_);_(@_)"/>
    <numFmt numFmtId="226" formatCode="_-* #,##0.00000000\ _₫_-;\-* #,##0.00000000\ _₫_-;_-* &quot;-&quot;??\ _₫_-;_-@_-"/>
    <numFmt numFmtId="227" formatCode="_-* #,##0.000000000\ _₫_-;\-* #,##0.000000000\ _₫_-;_-* &quot;-&quot;??\ _₫_-;_-@_-"/>
    <numFmt numFmtId="228" formatCode="_(* #,##0.0000000000_);_(* \(#,##0.0000000000\);_(* &quot;-&quot;???????_);_(@_)"/>
    <numFmt numFmtId="229" formatCode="_-* #,##0.000000\ _₫_-;\-* #,##0.000000\ _₫_-;_-* &quot;-&quot;????\ _₫_-;_-@_-"/>
    <numFmt numFmtId="230" formatCode="_-* #,##0.00000000\ _₫_-;\-* #,##0.00000000\ _₫_-;_-* &quot;-&quot;\ _₫_-;_-@_-"/>
    <numFmt numFmtId="231" formatCode="_-* #,##0.00000000\ _₫_-;\-* #,##0.00000000\ _₫_-;_-* &quot;-&quot;?\ _₫_-;_-@_-"/>
    <numFmt numFmtId="232" formatCode="_-* #,##0\ _₫_-;\-* #,##0\ _₫_-;_-* &quot;-&quot;?\ _₫_-;_-@_-"/>
    <numFmt numFmtId="233" formatCode="_-* #,##0.00000_-;\-* #,##0.00000_-;_-* &quot;-&quot;?????_-;_-@_-"/>
    <numFmt numFmtId="234" formatCode="_-* #,##0.000000_-;\-* #,##0.000000_-;_-* &quot;-&quot;??????_-;_-@_-"/>
    <numFmt numFmtId="235" formatCode="_-* #,##0_-;\-* #,##0_-;_-* &quot;-&quot;???????_-;_-@_-"/>
    <numFmt numFmtId="236" formatCode="_-* #,##0.000000_-;\-* #,##0.000000_-;_-* &quot;-&quot;?_-;_-@_-"/>
    <numFmt numFmtId="237" formatCode="0.000000"/>
    <numFmt numFmtId="238" formatCode="#,##0.0000000000"/>
    <numFmt numFmtId="239" formatCode="_-* #,##0.0000000000\ _₫_-;\-* #,##0.0000000000\ _₫_-;_-* &quot;-&quot;??\ _₫_-;_-@_-"/>
    <numFmt numFmtId="240" formatCode="_(* #,##0.000000000_);_(* \(#,##0.000000000\);_(* &quot;-&quot;?????????_);_(@_)"/>
    <numFmt numFmtId="241" formatCode="0.0000000000"/>
    <numFmt numFmtId="242" formatCode="_(* #,##0.000000000_);_(* \(#,##0.000000000\);_(* &quot;-&quot;??????_);_(@_)"/>
    <numFmt numFmtId="243" formatCode="_(* #,##0.00000000_);_(* \(#,##0.00000000\);_(* &quot;-&quot;????????_);_(@_)"/>
    <numFmt numFmtId="244" formatCode="_(* #,##0.00000000_);_(* \(#,##0.00000000\);_(* &quot;-&quot;?_);_(@_)"/>
    <numFmt numFmtId="245" formatCode="#,##0.00000000"/>
    <numFmt numFmtId="246" formatCode="_(* #,##0.000000_);_(* \(#,##0.000000\);_(* &quot;-&quot;???_);_(@_)"/>
    <numFmt numFmtId="247" formatCode="_-* #,##0.000_-;\-* #,##0.000_-;_-* &quot;-&quot;????_-;_-@_-"/>
    <numFmt numFmtId="248" formatCode="_-* #,##0.00000000_-;\-* #,##0.00000000_-;_-* &quot;-&quot;??????_-;_-@_-"/>
    <numFmt numFmtId="249" formatCode="_ * #,##0_ ;_ * \-#,##0_ ;_ * &quot;-&quot;??_ ;_ @_ "/>
    <numFmt numFmtId="250" formatCode="_-* #,##0.0000000\ _₫_-;\-* #,##0.0000000\ _₫_-;_-* &quot;-&quot;????\ _₫_-;_-@_-"/>
    <numFmt numFmtId="251" formatCode="_(* #,##0.00000000_);_(* \(#,##0.00000000\);_(* &quot;-&quot;???????_);_(@_)"/>
    <numFmt numFmtId="252" formatCode="0.000000000000"/>
    <numFmt numFmtId="253" formatCode="_-* #,##0.000000000000_-;\-* #,##0.000000000000_-;_-* &quot;-&quot;???????_-;_-@_-"/>
    <numFmt numFmtId="254" formatCode="_-* #,##0.0000000000000\ _₫_-;\-* #,##0.0000000000000\ _₫_-;_-* &quot;-&quot;??\ _₫_-;_-@_-"/>
    <numFmt numFmtId="255" formatCode="#,##0.000000000000"/>
    <numFmt numFmtId="256" formatCode="_-* #,##0.000000_-;\-* #,##0.000000_-;_-* &quot;-&quot;????????_-;_-@_-"/>
    <numFmt numFmtId="257" formatCode="0.0%"/>
    <numFmt numFmtId="258" formatCode="_-* #,##0\ _k_r_-;\-* #,##0\ _k_r_-;_-* &quot;-&quot;??\ _k_r_-;_-@_-"/>
    <numFmt numFmtId="259" formatCode="#,##0.000_);\(#,##0.000\)"/>
    <numFmt numFmtId="260" formatCode="#,##0.000000_);\(#,##0.000000\)"/>
    <numFmt numFmtId="261" formatCode="#,##0.0_);\(#,##0.0\)"/>
    <numFmt numFmtId="262" formatCode="_(* #,##0.000_);_(* \(#,##0.000\);_(* &quot;-&quot;???_);_(@_)"/>
  </numFmts>
  <fonts count="215" x14ac:knownFonts="1">
    <font>
      <sz val="11"/>
      <color theme="1"/>
      <name val="Times New Roman"/>
      <family val="2"/>
      <charset val="163"/>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1"/>
      <color theme="1"/>
      <name val="Times New Roman"/>
      <family val="1"/>
    </font>
    <font>
      <sz val="10"/>
      <color rgb="FF000000"/>
      <name val="Times New Roman"/>
      <family val="1"/>
    </font>
    <font>
      <b/>
      <sz val="12"/>
      <name val="Times New Roman"/>
      <family val="1"/>
    </font>
    <font>
      <i/>
      <sz val="12"/>
      <name val="Times New Roman"/>
      <family val="1"/>
    </font>
    <font>
      <b/>
      <sz val="12"/>
      <color rgb="FF000000"/>
      <name val="Times New Roman"/>
      <family val="1"/>
    </font>
    <font>
      <sz val="12"/>
      <color rgb="FF000000"/>
      <name val="Times New Roman"/>
      <family val="1"/>
    </font>
    <font>
      <i/>
      <sz val="12"/>
      <color rgb="FF000000"/>
      <name val="Times New Roman"/>
      <family val="1"/>
    </font>
    <font>
      <sz val="10"/>
      <color theme="1"/>
      <name val="Times New Roman"/>
      <family val="1"/>
    </font>
    <font>
      <b/>
      <i/>
      <sz val="12"/>
      <color rgb="FF000000"/>
      <name val="Times New Roman"/>
      <family val="1"/>
    </font>
    <font>
      <sz val="12"/>
      <name val="Times New Roman"/>
      <family val="1"/>
    </font>
    <font>
      <u/>
      <sz val="11"/>
      <color theme="10"/>
      <name val="times new roman"/>
      <family val="2"/>
      <charset val="163"/>
    </font>
    <font>
      <u/>
      <sz val="12"/>
      <name val="Times New Roman"/>
      <family val="1"/>
    </font>
    <font>
      <b/>
      <i/>
      <sz val="12"/>
      <name val="Times New Roman"/>
      <family val="1"/>
    </font>
    <font>
      <b/>
      <sz val="14"/>
      <name val="Times New Roman"/>
      <family val="1"/>
    </font>
    <font>
      <sz val="11"/>
      <color rgb="FFFF0000"/>
      <name val="Times New Roman"/>
      <family val="1"/>
    </font>
    <font>
      <sz val="12"/>
      <name val=".VnTime"/>
      <family val="2"/>
    </font>
    <font>
      <sz val="12"/>
      <name val=".VnArial Narrow"/>
      <family val="2"/>
    </font>
    <font>
      <b/>
      <sz val="9"/>
      <color indexed="81"/>
      <name val="Tahoma"/>
      <family val="2"/>
    </font>
    <font>
      <sz val="9"/>
      <color indexed="81"/>
      <name val="Tahoma"/>
      <family val="2"/>
    </font>
    <font>
      <b/>
      <sz val="11"/>
      <color theme="1"/>
      <name val="Times New Roman"/>
      <family val="1"/>
    </font>
    <font>
      <sz val="12"/>
      <name val=".VnTime"/>
      <family val="2"/>
    </font>
    <font>
      <sz val="11"/>
      <name val="Times New Roman"/>
      <family val="1"/>
      <charset val="163"/>
    </font>
    <font>
      <b/>
      <sz val="12"/>
      <name val="Arial"/>
      <family val="2"/>
    </font>
    <font>
      <sz val="11"/>
      <color rgb="FF000000"/>
      <name val="Times New Roman"/>
      <family val="1"/>
    </font>
    <font>
      <b/>
      <sz val="11"/>
      <color rgb="FF000000"/>
      <name val="Times New Roman"/>
      <family val="1"/>
    </font>
    <font>
      <i/>
      <sz val="11"/>
      <color rgb="FF000000"/>
      <name val="Times New Roman"/>
      <family val="1"/>
    </font>
    <font>
      <sz val="12"/>
      <color theme="1"/>
      <name val="Times New Roman"/>
      <family val="2"/>
    </font>
    <font>
      <sz val="11"/>
      <color theme="1"/>
      <name val="Calibri"/>
      <family val="2"/>
      <scheme val="minor"/>
    </font>
    <font>
      <i/>
      <sz val="10"/>
      <color rgb="FF000000"/>
      <name val="Times New Roman"/>
      <family val="1"/>
    </font>
    <font>
      <b/>
      <sz val="10"/>
      <name val="Times New Roman"/>
      <family val="1"/>
    </font>
    <font>
      <sz val="10"/>
      <name val="Times New Roman"/>
      <family val="1"/>
    </font>
    <font>
      <i/>
      <sz val="10"/>
      <name val="Times New Roman"/>
      <family val="1"/>
    </font>
    <font>
      <sz val="12"/>
      <color theme="1"/>
      <name val="Times New Roman"/>
      <family val="1"/>
    </font>
    <font>
      <b/>
      <sz val="11"/>
      <color theme="1"/>
      <name val="times new roman"/>
      <family val="1"/>
      <charset val="163"/>
    </font>
    <font>
      <b/>
      <sz val="11"/>
      <color rgb="FF000000"/>
      <name val="Times New Roman"/>
      <family val="1"/>
      <charset val="163"/>
    </font>
    <font>
      <sz val="11"/>
      <color theme="1"/>
      <name val="times new roman"/>
      <family val="2"/>
      <charset val="163"/>
    </font>
    <font>
      <b/>
      <sz val="12"/>
      <color theme="1"/>
      <name val="Times New Roman"/>
      <family val="1"/>
    </font>
    <font>
      <sz val="11"/>
      <color rgb="FF000000"/>
      <name val="Times New Roman"/>
      <family val="1"/>
      <charset val="163"/>
    </font>
    <font>
      <sz val="11"/>
      <color theme="1"/>
      <name val="Times New Roman"/>
      <family val="1"/>
      <charset val="163"/>
    </font>
    <font>
      <sz val="11"/>
      <name val="Times New Roman"/>
      <family val="1"/>
    </font>
    <font>
      <sz val="8"/>
      <name val="Times New Roman"/>
      <family val="1"/>
    </font>
    <font>
      <sz val="10"/>
      <name val="Arial"/>
      <family val="2"/>
      <charset val="163"/>
    </font>
    <font>
      <b/>
      <sz val="11"/>
      <name val="Times New Roman"/>
      <family val="1"/>
    </font>
    <font>
      <b/>
      <sz val="8"/>
      <name val="Times New Roman"/>
      <family val="1"/>
    </font>
    <font>
      <b/>
      <sz val="9"/>
      <name val="Times New Roman"/>
      <family val="1"/>
    </font>
    <font>
      <i/>
      <sz val="12"/>
      <color rgb="FF000000"/>
      <name val="Times New Roman"/>
      <family val="1"/>
      <charset val="163"/>
    </font>
    <font>
      <sz val="9"/>
      <color rgb="FF000000"/>
      <name val="Times New Roman"/>
      <family val="1"/>
      <charset val="163"/>
    </font>
    <font>
      <i/>
      <sz val="11"/>
      <name val="Times New Roman"/>
      <family val="1"/>
    </font>
    <font>
      <sz val="10"/>
      <name val="Arial"/>
      <family val="2"/>
    </font>
    <font>
      <sz val="10"/>
      <name val="Arial"/>
      <family val="2"/>
      <charset val="163"/>
    </font>
    <font>
      <sz val="11"/>
      <color indexed="8"/>
      <name val="Calibri"/>
      <family val="2"/>
    </font>
    <font>
      <sz val="11"/>
      <color indexed="9"/>
      <name val="Calibri"/>
      <family val="2"/>
    </font>
    <font>
      <b/>
      <sz val="11"/>
      <color indexed="9"/>
      <name val="Calibri"/>
      <family val="2"/>
    </font>
    <font>
      <sz val="11"/>
      <color indexed="52"/>
      <name val="Calibri"/>
      <family val="2"/>
    </font>
    <font>
      <b/>
      <sz val="11"/>
      <color indexed="52"/>
      <name val="Calibri"/>
      <family val="2"/>
    </font>
    <font>
      <b/>
      <sz val="11"/>
      <color indexed="8"/>
      <name val="Calibri"/>
      <family val="2"/>
    </font>
    <font>
      <sz val="11"/>
      <color indexed="17"/>
      <name val="Calibri"/>
      <family val="2"/>
    </font>
    <font>
      <sz val="11"/>
      <color indexed="60"/>
      <name val="Calibri"/>
      <family val="2"/>
    </font>
    <font>
      <i/>
      <sz val="11"/>
      <color indexed="23"/>
      <name val="Calibri"/>
      <family val="2"/>
    </font>
    <font>
      <sz val="11"/>
      <color indexed="20"/>
      <name val="Calibri"/>
      <family val="2"/>
    </font>
    <font>
      <sz val="14"/>
      <color indexed="8"/>
      <name val="Times New Roman"/>
      <family val="2"/>
      <charset val="163"/>
    </font>
    <font>
      <i/>
      <sz val="13"/>
      <name val="Times New Roman"/>
      <family val="1"/>
      <charset val="163"/>
    </font>
    <font>
      <sz val="8"/>
      <name val="times new roman"/>
      <family val="2"/>
      <charset val="163"/>
    </font>
    <font>
      <i/>
      <sz val="13"/>
      <name val="Times New Roman"/>
      <family val="1"/>
    </font>
    <font>
      <sz val="9"/>
      <name val="Times New Roman"/>
      <family val="1"/>
    </font>
    <font>
      <i/>
      <sz val="11"/>
      <color theme="1"/>
      <name val="Times New Roman"/>
      <family val="1"/>
    </font>
    <font>
      <sz val="12"/>
      <color indexed="8"/>
      <name val="Calibri"/>
      <family val="2"/>
    </font>
    <font>
      <sz val="12"/>
      <name val="Arial"/>
      <family val="2"/>
    </font>
    <font>
      <sz val="11"/>
      <name val="Arial"/>
      <family val="2"/>
    </font>
    <font>
      <b/>
      <i/>
      <sz val="11"/>
      <name val="Times New Roman"/>
      <family val="1"/>
    </font>
    <font>
      <i/>
      <sz val="12"/>
      <color theme="0"/>
      <name val="Times New Roman"/>
      <family val="1"/>
      <charset val="163"/>
    </font>
    <font>
      <sz val="14"/>
      <color theme="1"/>
      <name val="Times New Roman"/>
      <family val="2"/>
      <charset val="163"/>
    </font>
    <font>
      <sz val="12"/>
      <color rgb="FFFF0000"/>
      <name val="Times New Roman"/>
      <family val="1"/>
    </font>
    <font>
      <sz val="11"/>
      <color rgb="FFFF0000"/>
      <name val="times new roman"/>
      <family val="2"/>
      <charset val="163"/>
    </font>
    <font>
      <sz val="11"/>
      <name val=".VnArial Narrow"/>
      <family val="2"/>
    </font>
    <font>
      <sz val="11"/>
      <name val="times new roman"/>
      <family val="2"/>
      <charset val="163"/>
    </font>
    <font>
      <b/>
      <sz val="9"/>
      <name val="times new roman"/>
      <family val="2"/>
      <charset val="163"/>
    </font>
    <font>
      <sz val="10"/>
      <name val="times new roman"/>
      <family val="2"/>
      <charset val="163"/>
    </font>
    <font>
      <b/>
      <i/>
      <sz val="10"/>
      <name val="Times New Roman"/>
      <family val="1"/>
    </font>
    <font>
      <b/>
      <sz val="13"/>
      <name val="Times New Roman"/>
      <family val="1"/>
    </font>
    <font>
      <b/>
      <i/>
      <sz val="8"/>
      <name val="Times New Roman"/>
      <family val="1"/>
    </font>
    <font>
      <i/>
      <sz val="8"/>
      <name val="Times New Roman"/>
      <family val="1"/>
    </font>
    <font>
      <sz val="9"/>
      <name val="times new roman"/>
      <family val="2"/>
      <charset val="163"/>
    </font>
    <font>
      <b/>
      <sz val="7"/>
      <name val="Times New Roman"/>
      <family val="1"/>
    </font>
    <font>
      <b/>
      <sz val="9"/>
      <name val="Calibri"/>
      <family val="2"/>
      <charset val="163"/>
      <scheme val="minor"/>
    </font>
    <font>
      <b/>
      <sz val="11"/>
      <color indexed="63"/>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10"/>
      <name val="Calibri"/>
      <family val="2"/>
    </font>
    <font>
      <sz val="12"/>
      <color indexed="8"/>
      <name val="Times New Roman"/>
      <family val="2"/>
    </font>
    <font>
      <b/>
      <sz val="7"/>
      <name val="times new roman"/>
      <family val="2"/>
      <charset val="163"/>
    </font>
    <font>
      <i/>
      <sz val="12"/>
      <color theme="1"/>
      <name val="Times New Roman"/>
      <family val="1"/>
    </font>
    <font>
      <sz val="14"/>
      <name val="Times New Roman"/>
      <family val="1"/>
    </font>
    <font>
      <sz val="10.5"/>
      <name val="Courier New"/>
      <family val="3"/>
    </font>
    <font>
      <i/>
      <sz val="12"/>
      <name val="Times New Roman"/>
      <family val="1"/>
      <charset val="163"/>
    </font>
    <font>
      <sz val="10"/>
      <name val="Calibri"/>
      <family val="2"/>
      <charset val="163"/>
      <scheme val="minor"/>
    </font>
    <font>
      <sz val="11"/>
      <name val="Segoe UI"/>
      <family val="2"/>
    </font>
    <font>
      <i/>
      <sz val="14"/>
      <name val="Times New Roman"/>
      <family val="1"/>
    </font>
    <font>
      <sz val="10"/>
      <name val="Times New Roman"/>
      <family val="1"/>
      <charset val="163"/>
    </font>
    <font>
      <sz val="14"/>
      <color theme="1"/>
      <name val="Times New Roman"/>
      <family val="1"/>
    </font>
    <font>
      <sz val="8"/>
      <color rgb="FF000000"/>
      <name val="Arial"/>
      <family val="2"/>
    </font>
    <font>
      <sz val="8"/>
      <color theme="1"/>
      <name val="Arial"/>
      <family val="2"/>
    </font>
    <font>
      <b/>
      <sz val="10"/>
      <color theme="1"/>
      <name val="Times New Roman"/>
      <family val="1"/>
    </font>
    <font>
      <i/>
      <sz val="10"/>
      <name val="Times New Roman"/>
      <family val="1"/>
      <charset val="163"/>
    </font>
    <font>
      <sz val="10"/>
      <name val=".VnTime"/>
      <family val="2"/>
    </font>
    <font>
      <b/>
      <sz val="10"/>
      <name val="Times New Roman"/>
      <family val="1"/>
      <charset val="163"/>
    </font>
    <font>
      <b/>
      <sz val="12"/>
      <color rgb="FFFF0000"/>
      <name val="Times New Roman"/>
      <family val="1"/>
    </font>
    <font>
      <b/>
      <sz val="11"/>
      <color rgb="FFFF0000"/>
      <name val="Times New Roman"/>
      <family val="1"/>
    </font>
    <font>
      <sz val="14"/>
      <color rgb="FFFF0000"/>
      <name val="Times New Roman"/>
      <family val="1"/>
    </font>
    <font>
      <sz val="9"/>
      <color rgb="FFFF0000"/>
      <name val="Times New Roman"/>
      <family val="1"/>
    </font>
    <font>
      <b/>
      <i/>
      <sz val="11"/>
      <color rgb="FFFF0000"/>
      <name val="Times New Roman"/>
      <family val="1"/>
    </font>
    <font>
      <sz val="10"/>
      <color rgb="FFFF0000"/>
      <name val="Times New Roman"/>
      <family val="1"/>
    </font>
    <font>
      <b/>
      <sz val="12"/>
      <color indexed="8"/>
      <name val="Times New Roman"/>
      <family val="1"/>
    </font>
    <font>
      <b/>
      <sz val="14"/>
      <color indexed="8"/>
      <name val="Times New Roman"/>
      <family val="1"/>
    </font>
    <font>
      <i/>
      <sz val="12"/>
      <color indexed="8"/>
      <name val="Times New Roman"/>
      <family val="1"/>
    </font>
    <font>
      <b/>
      <sz val="11"/>
      <color indexed="8"/>
      <name val="Times New Roman"/>
      <family val="1"/>
    </font>
    <font>
      <sz val="10"/>
      <color indexed="8"/>
      <name val="Times New Roman"/>
      <family val="1"/>
    </font>
    <font>
      <sz val="12"/>
      <color indexed="8"/>
      <name val="Times New Roman"/>
      <family val="1"/>
    </font>
    <font>
      <b/>
      <i/>
      <sz val="12"/>
      <color indexed="8"/>
      <name val="Times New Roman"/>
      <family val="1"/>
    </font>
    <font>
      <i/>
      <sz val="9"/>
      <color indexed="8"/>
      <name val="Times New Roman"/>
      <family val="1"/>
    </font>
    <font>
      <sz val="13"/>
      <name val="Times New Roman"/>
      <family val="1"/>
    </font>
    <font>
      <b/>
      <sz val="10.5"/>
      <name val="Times New Roman"/>
      <family val="1"/>
      <charset val="163"/>
    </font>
    <font>
      <sz val="10.5"/>
      <name val="Times New Roman"/>
      <family val="1"/>
      <charset val="163"/>
    </font>
    <font>
      <b/>
      <sz val="11.5"/>
      <color theme="1"/>
      <name val="Times New Roman"/>
      <family val="1"/>
    </font>
    <font>
      <b/>
      <sz val="10"/>
      <color theme="1"/>
      <name val="Times New Roman"/>
      <family val="1"/>
      <charset val="163"/>
    </font>
    <font>
      <b/>
      <sz val="11.5"/>
      <name val="Times New Roman"/>
      <family val="1"/>
    </font>
    <font>
      <b/>
      <sz val="10.5"/>
      <color theme="1"/>
      <name val="Times New Roman"/>
      <family val="1"/>
      <charset val="163"/>
    </font>
    <font>
      <b/>
      <sz val="10.5"/>
      <name val="Times New Roman"/>
      <family val="1"/>
    </font>
    <font>
      <sz val="10.5"/>
      <name val="Times New Roman"/>
      <family val="1"/>
    </font>
    <font>
      <sz val="10.5"/>
      <name val="Arial"/>
      <family val="2"/>
      <charset val="163"/>
    </font>
    <font>
      <b/>
      <sz val="15"/>
      <name val="Times New Roman"/>
      <family val="1"/>
    </font>
    <font>
      <sz val="8"/>
      <color theme="1"/>
      <name val="Times New Roman"/>
      <family val="1"/>
    </font>
    <font>
      <b/>
      <sz val="8"/>
      <color theme="1"/>
      <name val="Times New Roman"/>
      <family val="1"/>
    </font>
    <font>
      <sz val="7"/>
      <color theme="1"/>
      <name val="Times New Roman"/>
      <family val="1"/>
    </font>
    <font>
      <i/>
      <sz val="12"/>
      <color rgb="FFFF0000"/>
      <name val="Times New Roman"/>
      <family val="1"/>
    </font>
    <font>
      <b/>
      <sz val="10"/>
      <color rgb="FFFF0000"/>
      <name val="Times New Roman"/>
      <family val="1"/>
    </font>
    <font>
      <sz val="10"/>
      <color rgb="FFFF0000"/>
      <name val="times new roman"/>
      <family val="2"/>
      <charset val="163"/>
    </font>
    <font>
      <sz val="11"/>
      <color theme="0"/>
      <name val="Times New Roman"/>
      <family val="1"/>
    </font>
    <font>
      <b/>
      <i/>
      <sz val="11"/>
      <name val="times new roman"/>
      <family val="2"/>
      <charset val="163"/>
    </font>
    <font>
      <sz val="9"/>
      <name val="Arial"/>
      <family val="2"/>
    </font>
    <font>
      <sz val="11.5"/>
      <name val="Times New Roman"/>
      <family val="1"/>
    </font>
    <font>
      <sz val="11.5"/>
      <color rgb="FFFF0000"/>
      <name val="Times New Roman"/>
      <family val="1"/>
    </font>
    <font>
      <sz val="13"/>
      <name val="times new roman"/>
      <family val="2"/>
      <charset val="163"/>
    </font>
    <font>
      <sz val="11.5"/>
      <color theme="1"/>
      <name val="Times New Roman"/>
      <family val="1"/>
    </font>
    <font>
      <b/>
      <sz val="13"/>
      <color theme="1"/>
      <name val="Times New Roman"/>
      <family val="1"/>
    </font>
    <font>
      <sz val="12"/>
      <name val="Calibri"/>
      <family val="2"/>
      <charset val="163"/>
      <scheme val="minor"/>
    </font>
    <font>
      <b/>
      <sz val="10.5"/>
      <color rgb="FFFF0000"/>
      <name val="Times New Roman"/>
      <family val="1"/>
    </font>
    <font>
      <sz val="11"/>
      <color theme="0"/>
      <name val="times new roman"/>
      <family val="2"/>
      <charset val="163"/>
    </font>
    <font>
      <sz val="10"/>
      <color theme="0"/>
      <name val="times new roman"/>
      <family val="2"/>
      <charset val="163"/>
    </font>
    <font>
      <b/>
      <sz val="12"/>
      <name val="Cambria"/>
      <family val="1"/>
      <scheme val="major"/>
    </font>
    <font>
      <sz val="12"/>
      <name val="Cambria"/>
      <family val="1"/>
      <scheme val="major"/>
    </font>
    <font>
      <i/>
      <sz val="12"/>
      <color theme="0"/>
      <name val="Cambria"/>
      <family val="1"/>
      <scheme val="major"/>
    </font>
    <font>
      <sz val="12"/>
      <color theme="1"/>
      <name val="Cambria"/>
      <family val="1"/>
      <scheme val="major"/>
    </font>
    <font>
      <b/>
      <sz val="12"/>
      <color theme="1"/>
      <name val="Cambria"/>
      <family val="1"/>
      <scheme val="major"/>
    </font>
    <font>
      <i/>
      <sz val="12"/>
      <name val="Cambria"/>
      <family val="1"/>
      <scheme val="major"/>
    </font>
    <font>
      <sz val="10"/>
      <color theme="1"/>
      <name val="Arial"/>
      <family val="2"/>
    </font>
    <font>
      <b/>
      <sz val="10"/>
      <color theme="1"/>
      <name val="Arial"/>
      <family val="2"/>
    </font>
    <font>
      <b/>
      <sz val="11.5"/>
      <name val="Cambria"/>
      <family val="1"/>
      <scheme val="major"/>
    </font>
    <font>
      <sz val="11.5"/>
      <name val="Cambria"/>
      <family val="1"/>
      <scheme val="major"/>
    </font>
    <font>
      <b/>
      <sz val="11.5"/>
      <color theme="1"/>
      <name val="Cambria"/>
      <family val="1"/>
      <scheme val="major"/>
    </font>
    <font>
      <sz val="11.5"/>
      <color theme="1"/>
      <name val="Cambria"/>
      <family val="1"/>
      <scheme val="major"/>
    </font>
    <font>
      <i/>
      <sz val="11.5"/>
      <name val="Cambria"/>
      <family val="1"/>
      <scheme val="major"/>
    </font>
    <font>
      <sz val="12"/>
      <color rgb="FFFF0000"/>
      <name val="Cambria"/>
      <family val="1"/>
      <scheme val="major"/>
    </font>
    <font>
      <b/>
      <sz val="14"/>
      <color theme="1"/>
      <name val="Arial"/>
      <family val="2"/>
    </font>
    <font>
      <sz val="9"/>
      <color theme="1"/>
      <name val="Arial"/>
      <family val="2"/>
    </font>
    <font>
      <b/>
      <sz val="13"/>
      <name val="Cambria"/>
      <family val="1"/>
      <scheme val="major"/>
    </font>
    <font>
      <i/>
      <sz val="13"/>
      <name val="Cambria"/>
      <family val="1"/>
      <scheme val="major"/>
    </font>
    <font>
      <b/>
      <sz val="10.5"/>
      <color theme="1"/>
      <name val="Times New Roman"/>
      <family val="1"/>
    </font>
    <font>
      <b/>
      <i/>
      <sz val="11.5"/>
      <color indexed="8"/>
      <name val="Times New Roman"/>
      <family val="1"/>
    </font>
    <font>
      <sz val="11.5"/>
      <color indexed="8"/>
      <name val="Times New Roman"/>
      <family val="1"/>
    </font>
    <font>
      <b/>
      <sz val="11.5"/>
      <color indexed="8"/>
      <name val="Times New Roman"/>
      <family val="1"/>
    </font>
    <font>
      <b/>
      <i/>
      <sz val="11.5"/>
      <name val="Times New Roman"/>
      <family val="1"/>
    </font>
    <font>
      <i/>
      <sz val="11.5"/>
      <name val="Times New Roman"/>
      <family val="1"/>
    </font>
    <font>
      <b/>
      <sz val="13"/>
      <color rgb="FF000000"/>
      <name val="Times New Roman"/>
      <family val="1"/>
    </font>
    <font>
      <b/>
      <sz val="11.5"/>
      <color rgb="FFFF0000"/>
      <name val="Times New Roman"/>
      <family val="1"/>
    </font>
    <font>
      <b/>
      <u/>
      <sz val="11"/>
      <name val="Times New Roman"/>
      <family val="1"/>
    </font>
    <font>
      <u/>
      <sz val="11"/>
      <name val="Times New Roman"/>
      <family val="1"/>
    </font>
    <font>
      <sz val="8"/>
      <name val="Times New Roman"/>
      <family val="1"/>
      <charset val="163"/>
    </font>
    <font>
      <sz val="11"/>
      <color rgb="FF0000FF"/>
      <name val="Times New Roman"/>
      <family val="1"/>
    </font>
    <font>
      <sz val="11"/>
      <color rgb="FF00B050"/>
      <name val="Times New Roman"/>
      <family val="1"/>
    </font>
    <font>
      <sz val="10"/>
      <color theme="1"/>
      <name val="Times New Roman"/>
      <family val="1"/>
      <charset val="163"/>
    </font>
    <font>
      <sz val="10.5"/>
      <color theme="1"/>
      <name val="Arial"/>
      <family val="2"/>
      <charset val="163"/>
    </font>
    <font>
      <b/>
      <u/>
      <sz val="10.5"/>
      <color theme="1"/>
      <name val="Times New Roman"/>
      <family val="1"/>
    </font>
    <font>
      <sz val="10.5"/>
      <color theme="1"/>
      <name val="Times New Roman"/>
      <family val="1"/>
    </font>
    <font>
      <b/>
      <i/>
      <sz val="10.5"/>
      <color theme="1"/>
      <name val="Times New Roman"/>
      <family val="1"/>
    </font>
    <font>
      <i/>
      <sz val="10.5"/>
      <color theme="1"/>
      <name val="Times New Roman"/>
      <family val="1"/>
    </font>
    <font>
      <b/>
      <sz val="14"/>
      <color theme="1"/>
      <name val="Times New Roman"/>
      <family val="1"/>
    </font>
    <font>
      <i/>
      <sz val="13"/>
      <color theme="1"/>
      <name val="Times New Roman"/>
      <family val="1"/>
    </font>
    <font>
      <sz val="10.5"/>
      <color theme="1"/>
      <name val="Times New Roman"/>
      <family val="1"/>
      <charset val="163"/>
    </font>
    <font>
      <i/>
      <sz val="13"/>
      <color theme="1"/>
      <name val="Times New Roman"/>
      <family val="1"/>
      <charset val="163"/>
    </font>
    <font>
      <u/>
      <sz val="10.5"/>
      <color theme="1"/>
      <name val="Times New Roman"/>
      <family val="1"/>
    </font>
    <font>
      <sz val="8"/>
      <color theme="0"/>
      <name val="Times New Roman"/>
      <family val="1"/>
      <charset val="163"/>
    </font>
    <font>
      <b/>
      <sz val="12"/>
      <color rgb="FF000000"/>
      <name val="Times New Roman"/>
      <family val="1"/>
      <charset val="163"/>
    </font>
    <font>
      <sz val="12"/>
      <color rgb="FF000000"/>
      <name val="Times New Roman"/>
      <family val="1"/>
      <charset val="163"/>
    </font>
    <font>
      <b/>
      <sz val="12"/>
      <color theme="1"/>
      <name val="Times New Roman"/>
      <family val="1"/>
      <charset val="163"/>
    </font>
    <font>
      <b/>
      <sz val="10"/>
      <color indexed="8"/>
      <name val="Times New Roman"/>
      <family val="1"/>
    </font>
    <font>
      <i/>
      <sz val="10"/>
      <color indexed="8"/>
      <name val="Times New Roman"/>
      <family val="1"/>
    </font>
    <font>
      <i/>
      <sz val="10.5"/>
      <name val="Times New Roman"/>
      <family val="1"/>
    </font>
    <font>
      <sz val="10.5"/>
      <color rgb="FFFF0000"/>
      <name val="Times New Roman"/>
      <family val="1"/>
    </font>
    <font>
      <sz val="12"/>
      <color theme="0"/>
      <name val="Times New Roman"/>
      <family val="1"/>
    </font>
    <font>
      <sz val="10.5"/>
      <color theme="0"/>
      <name val="Times New Roman"/>
      <family val="1"/>
    </font>
    <font>
      <sz val="10"/>
      <color theme="0"/>
      <name val="Times New Roman"/>
      <family val="1"/>
    </font>
    <font>
      <sz val="8"/>
      <color theme="0"/>
      <name val="Times New Roman"/>
      <family val="1"/>
    </font>
    <font>
      <i/>
      <sz val="10"/>
      <color theme="0"/>
      <name val="Times New Roman"/>
      <family val="1"/>
    </font>
  </fonts>
  <fills count="3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indexed="26"/>
      </patternFill>
    </fill>
    <fill>
      <patternFill patternType="solid">
        <fgColor theme="6" tint="0.39997558519241921"/>
        <bgColor indexed="64"/>
      </patternFill>
    </fill>
    <fill>
      <patternFill patternType="solid">
        <fgColor theme="0"/>
        <bgColor theme="0"/>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CCFF"/>
        <bgColor indexed="64"/>
      </patternFill>
    </fill>
    <fill>
      <patternFill patternType="solid">
        <fgColor theme="3" tint="0.79998168889431442"/>
        <bgColor indexed="64"/>
      </patternFill>
    </fill>
    <fill>
      <patternFill patternType="solid">
        <fgColor theme="8" tint="-0.249977111117893"/>
        <bgColor indexed="64"/>
      </patternFill>
    </fill>
    <fill>
      <patternFill patternType="solid">
        <fgColor theme="7" tint="0.79998168889431442"/>
        <bgColor indexed="64"/>
      </patternFill>
    </fill>
    <fill>
      <patternFill patternType="solid">
        <fgColor theme="6"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right/>
      <top style="hair">
        <color auto="1"/>
      </top>
      <bottom style="hair">
        <color auto="1"/>
      </bottom>
      <diagonal/>
    </border>
    <border>
      <left/>
      <right/>
      <top style="thin">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auto="1"/>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168">
    <xf numFmtId="0" fontId="0" fillId="0" borderId="0"/>
    <xf numFmtId="0" fontId="18" fillId="0" borderId="0" applyNumberFormat="0" applyFill="0" applyBorder="0" applyAlignment="0" applyProtection="0"/>
    <xf numFmtId="0" fontId="23" fillId="0" borderId="0"/>
    <xf numFmtId="0" fontId="24" fillId="0" borderId="0"/>
    <xf numFmtId="0" fontId="28" fillId="0" borderId="0"/>
    <xf numFmtId="0" fontId="30" fillId="0" borderId="14" applyNumberFormat="0" applyAlignment="0" applyProtection="0">
      <alignment horizontal="left" vertical="center"/>
    </xf>
    <xf numFmtId="0" fontId="30" fillId="0" borderId="11">
      <alignment horizontal="left" vertical="center"/>
    </xf>
    <xf numFmtId="0" fontId="34" fillId="0" borderId="0"/>
    <xf numFmtId="0" fontId="24" fillId="0" borderId="0"/>
    <xf numFmtId="0" fontId="35" fillId="0" borderId="0"/>
    <xf numFmtId="165" fontId="43" fillId="0" borderId="0" applyFont="0" applyFill="0" applyBorder="0" applyAlignment="0" applyProtection="0"/>
    <xf numFmtId="166" fontId="43" fillId="0" borderId="0" applyFont="0" applyFill="0" applyBorder="0" applyAlignment="0" applyProtection="0"/>
    <xf numFmtId="0" fontId="49" fillId="0" borderId="0"/>
    <xf numFmtId="0" fontId="24" fillId="0" borderId="0"/>
    <xf numFmtId="0" fontId="57" fillId="0" borderId="0"/>
    <xf numFmtId="0" fontId="58" fillId="4" borderId="0" applyNumberFormat="0" applyBorder="0" applyAlignment="0" applyProtection="0"/>
    <xf numFmtId="0" fontId="58" fillId="5" borderId="0" applyNumberFormat="0" applyBorder="0" applyAlignment="0" applyProtection="0"/>
    <xf numFmtId="0" fontId="58" fillId="6" borderId="0" applyNumberFormat="0" applyBorder="0" applyAlignment="0" applyProtection="0"/>
    <xf numFmtId="0" fontId="58" fillId="7" borderId="0" applyNumberFormat="0" applyBorder="0" applyAlignment="0" applyProtection="0"/>
    <xf numFmtId="0" fontId="58" fillId="8" borderId="0" applyNumberFormat="0" applyBorder="0" applyAlignment="0" applyProtection="0"/>
    <xf numFmtId="0" fontId="58" fillId="9" borderId="0" applyNumberFormat="0" applyBorder="0" applyAlignment="0" applyProtection="0"/>
    <xf numFmtId="0" fontId="58" fillId="10" borderId="0" applyNumberFormat="0" applyBorder="0" applyAlignment="0" applyProtection="0"/>
    <xf numFmtId="0" fontId="58" fillId="11" borderId="0" applyNumberFormat="0" applyBorder="0" applyAlignment="0" applyProtection="0"/>
    <xf numFmtId="0" fontId="58" fillId="12" borderId="0" applyNumberFormat="0" applyBorder="0" applyAlignment="0" applyProtection="0"/>
    <xf numFmtId="0" fontId="58" fillId="7" borderId="0" applyNumberFormat="0" applyBorder="0" applyAlignment="0" applyProtection="0"/>
    <xf numFmtId="0" fontId="58" fillId="10" borderId="0" applyNumberFormat="0" applyBorder="0" applyAlignment="0" applyProtection="0"/>
    <xf numFmtId="0" fontId="58" fillId="13" borderId="0" applyNumberFormat="0" applyBorder="0" applyAlignment="0" applyProtection="0"/>
    <xf numFmtId="0" fontId="59" fillId="14" borderId="0" applyNumberFormat="0" applyBorder="0" applyAlignment="0" applyProtection="0"/>
    <xf numFmtId="0" fontId="59" fillId="11" borderId="0" applyNumberFormat="0" applyBorder="0" applyAlignment="0" applyProtection="0"/>
    <xf numFmtId="0" fontId="59" fillId="12" borderId="0" applyNumberFormat="0" applyBorder="0" applyAlignment="0" applyProtection="0"/>
    <xf numFmtId="0" fontId="59" fillId="15" borderId="0" applyNumberFormat="0" applyBorder="0" applyAlignment="0" applyProtection="0"/>
    <xf numFmtId="0" fontId="59" fillId="16"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19" borderId="0" applyNumberFormat="0" applyBorder="0" applyAlignment="0" applyProtection="0"/>
    <xf numFmtId="0" fontId="59" fillId="20" borderId="0" applyNumberFormat="0" applyBorder="0" applyAlignment="0" applyProtection="0"/>
    <xf numFmtId="0" fontId="59" fillId="15" borderId="0" applyNumberFormat="0" applyBorder="0" applyAlignment="0" applyProtection="0"/>
    <xf numFmtId="0" fontId="59" fillId="16" borderId="0" applyNumberFormat="0" applyBorder="0" applyAlignment="0" applyProtection="0"/>
    <xf numFmtId="0" fontId="59" fillId="21" borderId="0" applyNumberFormat="0" applyBorder="0" applyAlignment="0" applyProtection="0"/>
    <xf numFmtId="0" fontId="67" fillId="5" borderId="0" applyNumberFormat="0" applyBorder="0" applyAlignment="0" applyProtection="0"/>
    <xf numFmtId="0" fontId="49" fillId="0" borderId="0"/>
    <xf numFmtId="0" fontId="57" fillId="0" borderId="0"/>
    <xf numFmtId="0" fontId="62" fillId="22" borderId="17" applyNumberFormat="0" applyAlignment="0" applyProtection="0"/>
    <xf numFmtId="0" fontId="60" fillId="23" borderId="18" applyNumberFormat="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172" fontId="56"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0" fontId="66" fillId="0" borderId="0" applyNumberFormat="0" applyFill="0" applyBorder="0" applyAlignment="0" applyProtection="0"/>
    <xf numFmtId="0" fontId="64" fillId="6" borderId="0" applyNumberFormat="0" applyBorder="0" applyAlignment="0" applyProtection="0"/>
    <xf numFmtId="0" fontId="61" fillId="0" borderId="19" applyNumberFormat="0" applyFill="0" applyAlignment="0" applyProtection="0"/>
    <xf numFmtId="0" fontId="65" fillId="24" borderId="0" applyNumberFormat="0" applyBorder="0" applyAlignment="0" applyProtection="0"/>
    <xf numFmtId="0" fontId="56" fillId="0" borderId="0"/>
    <xf numFmtId="0" fontId="23" fillId="0" borderId="0"/>
    <xf numFmtId="0" fontId="56" fillId="0" borderId="0"/>
    <xf numFmtId="0" fontId="68" fillId="0" borderId="0"/>
    <xf numFmtId="9" fontId="24" fillId="0" borderId="0" applyFont="0" applyFill="0" applyBorder="0" applyAlignment="0" applyProtection="0"/>
    <xf numFmtId="0" fontId="63" fillId="0" borderId="20" applyNumberFormat="0" applyFill="0" applyAlignment="0" applyProtection="0"/>
    <xf numFmtId="0" fontId="49" fillId="0" borderId="0"/>
    <xf numFmtId="0" fontId="57" fillId="0" borderId="0"/>
    <xf numFmtId="0" fontId="57" fillId="0" borderId="0"/>
    <xf numFmtId="0" fontId="57" fillId="0" borderId="0"/>
    <xf numFmtId="0" fontId="57" fillId="0" borderId="0"/>
    <xf numFmtId="9" fontId="43" fillId="0" borderId="0" applyFont="0" applyFill="0" applyBorder="0" applyAlignment="0" applyProtection="0"/>
    <xf numFmtId="41" fontId="7" fillId="0" borderId="0" applyFont="0" applyFill="0" applyBorder="0" applyAlignment="0" applyProtection="0"/>
    <xf numFmtId="0" fontId="58" fillId="0" borderId="0"/>
    <xf numFmtId="166" fontId="58"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180" fontId="56" fillId="0" borderId="0" applyFont="0" applyFill="0" applyBorder="0" applyAlignment="0" applyProtection="0"/>
    <xf numFmtId="180" fontId="56" fillId="0" borderId="0" applyFont="0" applyFill="0" applyBorder="0" applyAlignment="0" applyProtection="0"/>
    <xf numFmtId="0" fontId="79" fillId="0" borderId="0"/>
    <xf numFmtId="43" fontId="49" fillId="0" borderId="0" applyFont="0" applyFill="0" applyBorder="0" applyAlignment="0" applyProtection="0"/>
    <xf numFmtId="172" fontId="56" fillId="0" borderId="0" applyFont="0" applyFill="0" applyBorder="0" applyAlignment="0" applyProtection="0"/>
    <xf numFmtId="0" fontId="43" fillId="0" borderId="0"/>
    <xf numFmtId="0" fontId="56" fillId="0" borderId="0"/>
    <xf numFmtId="43" fontId="58" fillId="0" borderId="0" applyFont="0" applyFill="0" applyBorder="0" applyAlignment="0" applyProtection="0"/>
    <xf numFmtId="0" fontId="5" fillId="0" borderId="0"/>
    <xf numFmtId="43" fontId="4" fillId="0" borderId="0" applyFont="0" applyFill="0" applyBorder="0" applyAlignment="0" applyProtection="0"/>
    <xf numFmtId="0" fontId="82" fillId="0" borderId="0"/>
    <xf numFmtId="0" fontId="56" fillId="0" borderId="0"/>
    <xf numFmtId="0" fontId="35" fillId="0" borderId="0"/>
    <xf numFmtId="0" fontId="56" fillId="0" borderId="0"/>
    <xf numFmtId="0" fontId="43" fillId="0" borderId="0"/>
    <xf numFmtId="165" fontId="43" fillId="0" borderId="0" applyFont="0" applyFill="0" applyBorder="0" applyAlignment="0" applyProtection="0"/>
    <xf numFmtId="0" fontId="3" fillId="0" borderId="0"/>
    <xf numFmtId="0" fontId="23" fillId="0" borderId="0"/>
    <xf numFmtId="0" fontId="4" fillId="0" borderId="0"/>
    <xf numFmtId="0" fontId="3" fillId="0" borderId="0"/>
    <xf numFmtId="166" fontId="43"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9" fontId="43" fillId="0" borderId="0" applyFont="0" applyFill="0" applyBorder="0" applyAlignment="0" applyProtection="0"/>
    <xf numFmtId="41"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0" fontId="4" fillId="0" borderId="0"/>
    <xf numFmtId="0" fontId="3" fillId="0" borderId="0"/>
    <xf numFmtId="166" fontId="43" fillId="0" borderId="0" applyFont="0" applyFill="0" applyBorder="0" applyAlignment="0" applyProtection="0"/>
    <xf numFmtId="166" fontId="43" fillId="0" borderId="0" applyFont="0" applyFill="0" applyBorder="0" applyAlignment="0" applyProtection="0"/>
    <xf numFmtId="0" fontId="62" fillId="22" borderId="17" applyNumberFormat="0" applyAlignment="0" applyProtection="0"/>
    <xf numFmtId="166" fontId="43" fillId="0" borderId="0" applyFont="0" applyFill="0" applyBorder="0" applyAlignment="0" applyProtection="0"/>
    <xf numFmtId="0" fontId="63" fillId="0" borderId="20" applyNumberFormat="0" applyFill="0" applyAlignment="0" applyProtection="0"/>
    <xf numFmtId="166" fontId="43" fillId="0" borderId="0" applyFont="0" applyFill="0" applyBorder="0" applyAlignment="0" applyProtection="0"/>
    <xf numFmtId="166" fontId="43" fillId="0" borderId="0" applyFont="0" applyFill="0" applyBorder="0" applyAlignment="0" applyProtection="0"/>
    <xf numFmtId="43" fontId="3"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0" fontId="93" fillId="22" borderId="28" applyNumberFormat="0" applyAlignment="0" applyProtection="0"/>
    <xf numFmtId="0" fontId="94" fillId="9" borderId="17" applyNumberFormat="0" applyAlignment="0" applyProtection="0"/>
    <xf numFmtId="0" fontId="95" fillId="0" borderId="29" applyNumberFormat="0" applyFill="0" applyAlignment="0" applyProtection="0"/>
    <xf numFmtId="0" fontId="96" fillId="0" borderId="30" applyNumberFormat="0" applyFill="0" applyAlignment="0" applyProtection="0"/>
    <xf numFmtId="0" fontId="97" fillId="0" borderId="31" applyNumberFormat="0" applyFill="0" applyAlignment="0" applyProtection="0"/>
    <xf numFmtId="0" fontId="97" fillId="0" borderId="0" applyNumberFormat="0" applyFill="0" applyBorder="0" applyAlignment="0" applyProtection="0"/>
    <xf numFmtId="0" fontId="56" fillId="28" borderId="32" applyNumberFormat="0" applyFont="0" applyAlignment="0" applyProtection="0"/>
    <xf numFmtId="43" fontId="100" fillId="0" borderId="0" applyFont="0" applyFill="0" applyBorder="0" applyAlignment="0" applyProtection="0"/>
    <xf numFmtId="0" fontId="98" fillId="0" borderId="0" applyNumberFormat="0" applyFill="0" applyBorder="0" applyAlignment="0" applyProtection="0"/>
    <xf numFmtId="0" fontId="63" fillId="0" borderId="20" applyNumberFormat="0" applyFill="0" applyAlignment="0" applyProtection="0"/>
    <xf numFmtId="0" fontId="99" fillId="0" borderId="0" applyNumberForma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0" fontId="2" fillId="0" borderId="0"/>
    <xf numFmtId="0" fontId="2" fillId="0" borderId="0"/>
    <xf numFmtId="0" fontId="2"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3" fillId="0" borderId="0"/>
    <xf numFmtId="183" fontId="23" fillId="0" borderId="0" applyFont="0" applyFill="0" applyBorder="0" applyAlignment="0" applyProtection="0"/>
    <xf numFmtId="0" fontId="24" fillId="0" borderId="0"/>
    <xf numFmtId="0" fontId="23" fillId="0" borderId="0"/>
    <xf numFmtId="0" fontId="56" fillId="0" borderId="0"/>
    <xf numFmtId="43" fontId="17" fillId="0" borderId="0" applyFont="0" applyFill="0" applyBorder="0" applyAlignment="0" applyProtection="0"/>
  </cellStyleXfs>
  <cellXfs count="3467">
    <xf numFmtId="0" fontId="0" fillId="0" borderId="0" xfId="0"/>
    <xf numFmtId="0" fontId="8" fillId="0" borderId="0" xfId="0" applyFont="1"/>
    <xf numFmtId="0" fontId="10" fillId="0" borderId="0" xfId="0" applyFont="1" applyAlignment="1">
      <alignment horizontal="right" vertical="center"/>
    </xf>
    <xf numFmtId="0" fontId="12" fillId="0" borderId="0" xfId="0" applyFont="1" applyAlignment="1">
      <alignment vertical="center"/>
    </xf>
    <xf numFmtId="0" fontId="15" fillId="0" borderId="0" xfId="0" applyFont="1"/>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17" fillId="0" borderId="0" xfId="0" applyFont="1" applyAlignment="1">
      <alignment vertical="center"/>
    </xf>
    <xf numFmtId="0" fontId="10" fillId="2" borderId="1" xfId="0" applyFont="1" applyFill="1" applyBorder="1" applyAlignment="1">
      <alignment horizontal="justify" vertical="center" wrapText="1"/>
    </xf>
    <xf numFmtId="0" fontId="12" fillId="2" borderId="1" xfId="0" applyFont="1" applyFill="1" applyBorder="1" applyAlignment="1">
      <alignment horizontal="justify" vertical="center" wrapText="1"/>
    </xf>
    <xf numFmtId="0" fontId="13" fillId="2" borderId="1" xfId="0" applyFont="1" applyFill="1" applyBorder="1" applyAlignment="1">
      <alignment horizontal="justify" vertical="center" wrapText="1"/>
    </xf>
    <xf numFmtId="0" fontId="19" fillId="0" borderId="1" xfId="1" applyFont="1" applyBorder="1" applyAlignment="1">
      <alignment horizontal="justify" vertical="center" wrapText="1"/>
    </xf>
    <xf numFmtId="0" fontId="13"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3" fillId="0" borderId="1" xfId="0" quotePrefix="1" applyFont="1" applyBorder="1" applyAlignment="1">
      <alignment horizontal="justify" vertical="center" wrapText="1"/>
    </xf>
    <xf numFmtId="0" fontId="17" fillId="0" borderId="0" xfId="0" applyFont="1" applyAlignment="1">
      <alignment horizontal="justify" vertical="center"/>
    </xf>
    <xf numFmtId="0" fontId="0" fillId="0" borderId="0" xfId="0" applyAlignment="1">
      <alignment horizontal="justify" vertical="center"/>
    </xf>
    <xf numFmtId="0" fontId="10" fillId="0" borderId="1" xfId="1" applyFont="1" applyBorder="1" applyAlignment="1">
      <alignment horizontal="justify" vertical="center" wrapText="1"/>
    </xf>
    <xf numFmtId="0" fontId="13" fillId="2" borderId="1" xfId="0" applyFont="1" applyFill="1" applyBorder="1" applyAlignment="1">
      <alignment horizontal="center" vertical="center" wrapText="1"/>
    </xf>
    <xf numFmtId="0" fontId="13" fillId="0" borderId="1" xfId="0" quotePrefix="1" applyFont="1" applyBorder="1" applyAlignment="1">
      <alignment horizontal="center" vertical="center" wrapText="1"/>
    </xf>
    <xf numFmtId="0" fontId="27" fillId="0" borderId="0" xfId="0" applyFont="1"/>
    <xf numFmtId="0" fontId="32" fillId="0" borderId="1" xfId="0" applyFont="1" applyBorder="1" applyAlignment="1">
      <alignment horizontal="center" vertical="center" wrapText="1"/>
    </xf>
    <xf numFmtId="0" fontId="41" fillId="0" borderId="0" xfId="0" applyFont="1"/>
    <xf numFmtId="0" fontId="45" fillId="0" borderId="7" xfId="0" applyFont="1" applyBorder="1" applyAlignment="1">
      <alignment horizontal="center" vertical="center" wrapText="1"/>
    </xf>
    <xf numFmtId="0" fontId="45" fillId="0" borderId="7" xfId="0" applyFont="1" applyBorder="1" applyAlignment="1">
      <alignment vertical="center" wrapText="1"/>
    </xf>
    <xf numFmtId="0" fontId="46" fillId="0" borderId="0" xfId="0" applyFont="1"/>
    <xf numFmtId="0" fontId="42" fillId="0" borderId="1" xfId="0" applyFont="1" applyBorder="1" applyAlignment="1">
      <alignment horizontal="center" vertical="center" wrapText="1"/>
    </xf>
    <xf numFmtId="167" fontId="42" fillId="0" borderId="1" xfId="0" applyNumberFormat="1" applyFont="1" applyBorder="1" applyAlignment="1">
      <alignment horizontal="right" vertical="center" wrapText="1"/>
    </xf>
    <xf numFmtId="0" fontId="53" fillId="0" borderId="0" xfId="0" applyFont="1" applyAlignment="1">
      <alignment horizontal="right" vertical="center"/>
    </xf>
    <xf numFmtId="167" fontId="8" fillId="0" borderId="0" xfId="0" applyNumberFormat="1" applyFont="1"/>
    <xf numFmtId="167" fontId="45" fillId="0" borderId="7" xfId="0" applyNumberFormat="1" applyFont="1" applyBorder="1" applyAlignment="1">
      <alignment horizontal="right" vertical="center" wrapText="1"/>
    </xf>
    <xf numFmtId="0" fontId="47" fillId="0" borderId="0" xfId="0" applyFont="1"/>
    <xf numFmtId="167" fontId="45" fillId="0" borderId="8" xfId="0" applyNumberFormat="1" applyFont="1" applyBorder="1" applyAlignment="1">
      <alignment horizontal="right" vertical="center" wrapText="1"/>
    </xf>
    <xf numFmtId="167" fontId="46" fillId="0" borderId="0" xfId="0" applyNumberFormat="1" applyFont="1"/>
    <xf numFmtId="0" fontId="0" fillId="0" borderId="0" xfId="0" applyAlignment="1">
      <alignment horizontal="center"/>
    </xf>
    <xf numFmtId="0" fontId="41" fillId="0" borderId="1" xfId="0" applyFont="1" applyBorder="1"/>
    <xf numFmtId="0" fontId="47" fillId="3" borderId="0" xfId="0" applyFont="1" applyFill="1"/>
    <xf numFmtId="0" fontId="38" fillId="3" borderId="0" xfId="0" applyFont="1" applyFill="1"/>
    <xf numFmtId="167" fontId="32" fillId="0" borderId="1" xfId="0" applyNumberFormat="1" applyFont="1" applyBorder="1" applyAlignment="1">
      <alignment horizontal="right" vertical="center" wrapText="1"/>
    </xf>
    <xf numFmtId="0" fontId="50" fillId="0" borderId="0" xfId="0" applyFont="1"/>
    <xf numFmtId="167" fontId="50" fillId="0" borderId="0" xfId="0" applyNumberFormat="1" applyFont="1"/>
    <xf numFmtId="167" fontId="47" fillId="0" borderId="0" xfId="0" applyNumberFormat="1" applyFont="1"/>
    <xf numFmtId="4" fontId="50" fillId="0" borderId="0" xfId="0" applyNumberFormat="1" applyFont="1"/>
    <xf numFmtId="0" fontId="10" fillId="0" borderId="0" xfId="67" applyFont="1" applyAlignment="1">
      <alignment horizontal="center" wrapText="1"/>
    </xf>
    <xf numFmtId="0" fontId="10" fillId="0" borderId="0" xfId="67" applyFont="1" applyAlignment="1">
      <alignment horizontal="left" wrapText="1"/>
    </xf>
    <xf numFmtId="0" fontId="11" fillId="0" borderId="0" xfId="67" applyFont="1"/>
    <xf numFmtId="0" fontId="58" fillId="0" borderId="0" xfId="67"/>
    <xf numFmtId="0" fontId="74" fillId="0" borderId="0" xfId="67" applyFont="1"/>
    <xf numFmtId="0" fontId="75" fillId="0" borderId="0" xfId="0" applyFont="1"/>
    <xf numFmtId="0" fontId="10" fillId="0" borderId="13" xfId="67" applyFont="1" applyBorder="1" applyAlignment="1">
      <alignment horizontal="center" wrapText="1"/>
    </xf>
    <xf numFmtId="0" fontId="50" fillId="0" borderId="1" xfId="67" applyFont="1" applyBorder="1" applyAlignment="1">
      <alignment horizontal="center" vertical="center" wrapText="1"/>
    </xf>
    <xf numFmtId="0" fontId="76" fillId="0" borderId="0" xfId="0" applyFont="1"/>
    <xf numFmtId="173" fontId="58" fillId="0" borderId="0" xfId="67" applyNumberFormat="1"/>
    <xf numFmtId="0" fontId="47" fillId="0" borderId="7" xfId="67" applyFont="1" applyBorder="1" applyAlignment="1">
      <alignment horizontal="center" vertical="center" wrapText="1"/>
    </xf>
    <xf numFmtId="0" fontId="47" fillId="0" borderId="7" xfId="67" applyFont="1" applyBorder="1" applyAlignment="1">
      <alignment horizontal="justify" vertical="center" wrapText="1"/>
    </xf>
    <xf numFmtId="173" fontId="47" fillId="0" borderId="7" xfId="67" applyNumberFormat="1" applyFont="1" applyBorder="1" applyAlignment="1">
      <alignment horizontal="right" vertical="center" wrapText="1"/>
    </xf>
    <xf numFmtId="173" fontId="47" fillId="0" borderId="7" xfId="68" applyNumberFormat="1" applyFont="1" applyBorder="1" applyAlignment="1">
      <alignment horizontal="right" vertical="center" wrapText="1"/>
    </xf>
    <xf numFmtId="0" fontId="58" fillId="0" borderId="0" xfId="67" applyAlignment="1">
      <alignment horizontal="center"/>
    </xf>
    <xf numFmtId="0" fontId="11" fillId="0" borderId="0" xfId="0" applyFont="1" applyAlignment="1">
      <alignment horizontal="center" vertical="center" wrapText="1"/>
    </xf>
    <xf numFmtId="0" fontId="11" fillId="0" borderId="0" xfId="0" applyFont="1" applyAlignment="1">
      <alignment horizontal="right" vertical="center"/>
    </xf>
    <xf numFmtId="0" fontId="10" fillId="0" borderId="7" xfId="0" applyFont="1" applyBorder="1" applyAlignment="1">
      <alignment horizontal="center" vertical="center" wrapText="1"/>
    </xf>
    <xf numFmtId="0" fontId="10" fillId="0" borderId="7" xfId="0" applyFont="1" applyBorder="1" applyAlignment="1">
      <alignment vertical="center" wrapText="1"/>
    </xf>
    <xf numFmtId="176" fontId="10" fillId="0" borderId="7" xfId="11" applyNumberFormat="1" applyFont="1" applyBorder="1" applyAlignment="1">
      <alignment vertical="center" wrapText="1"/>
    </xf>
    <xf numFmtId="0" fontId="17" fillId="0" borderId="7" xfId="0" applyFont="1" applyBorder="1" applyAlignment="1">
      <alignment horizontal="center" vertical="center" wrapText="1"/>
    </xf>
    <xf numFmtId="0" fontId="17" fillId="0" borderId="7" xfId="0" applyFont="1" applyBorder="1" applyAlignment="1">
      <alignment vertical="center" wrapText="1"/>
    </xf>
    <xf numFmtId="167" fontId="17" fillId="0" borderId="7" xfId="0" applyNumberFormat="1" applyFont="1" applyBorder="1" applyAlignment="1">
      <alignment horizontal="right" vertical="center" wrapText="1"/>
    </xf>
    <xf numFmtId="176" fontId="17" fillId="0" borderId="7" xfId="11" applyNumberFormat="1" applyFont="1" applyBorder="1" applyAlignment="1">
      <alignment vertical="center" wrapText="1"/>
    </xf>
    <xf numFmtId="0" fontId="10" fillId="0" borderId="8" xfId="0" applyFont="1" applyBorder="1" applyAlignment="1">
      <alignment horizontal="center" vertical="center" wrapText="1"/>
    </xf>
    <xf numFmtId="0" fontId="10" fillId="0" borderId="8" xfId="0" applyFont="1" applyBorder="1" applyAlignment="1">
      <alignment vertical="center" wrapText="1"/>
    </xf>
    <xf numFmtId="167" fontId="10" fillId="0" borderId="8" xfId="0" applyNumberFormat="1" applyFont="1" applyBorder="1" applyAlignment="1">
      <alignment horizontal="right" vertical="center" wrapText="1"/>
    </xf>
    <xf numFmtId="176" fontId="10" fillId="0" borderId="8" xfId="11" applyNumberFormat="1" applyFont="1" applyBorder="1" applyAlignment="1">
      <alignment vertical="center" wrapText="1"/>
    </xf>
    <xf numFmtId="0" fontId="10" fillId="0" borderId="15" xfId="0" applyFont="1" applyBorder="1" applyAlignment="1">
      <alignment horizontal="center" vertical="center" wrapText="1"/>
    </xf>
    <xf numFmtId="0" fontId="10" fillId="0" borderId="15" xfId="0" applyFont="1" applyBorder="1" applyAlignment="1">
      <alignment vertical="center" wrapText="1"/>
    </xf>
    <xf numFmtId="167" fontId="10" fillId="0" borderId="15" xfId="0" applyNumberFormat="1" applyFont="1" applyBorder="1" applyAlignment="1">
      <alignment horizontal="right" vertical="center" wrapText="1"/>
    </xf>
    <xf numFmtId="176" fontId="10" fillId="0" borderId="15" xfId="11" applyNumberFormat="1" applyFont="1" applyBorder="1" applyAlignment="1">
      <alignment vertical="center" wrapText="1"/>
    </xf>
    <xf numFmtId="0" fontId="10" fillId="0" borderId="9" xfId="0" applyFont="1" applyBorder="1" applyAlignment="1">
      <alignment horizontal="center" vertical="center" wrapText="1"/>
    </xf>
    <xf numFmtId="0" fontId="10" fillId="0" borderId="9" xfId="0" applyFont="1" applyBorder="1" applyAlignment="1">
      <alignment vertical="center" wrapText="1"/>
    </xf>
    <xf numFmtId="167" fontId="50" fillId="0" borderId="9" xfId="0" applyNumberFormat="1" applyFont="1" applyBorder="1" applyAlignment="1">
      <alignment horizontal="right" vertical="center" wrapText="1"/>
    </xf>
    <xf numFmtId="176" fontId="10" fillId="0" borderId="9" xfId="11" applyNumberFormat="1" applyFont="1" applyBorder="1" applyAlignment="1">
      <alignment vertical="center" wrapText="1"/>
    </xf>
    <xf numFmtId="0" fontId="10" fillId="0" borderId="1" xfId="0" applyFont="1" applyBorder="1" applyAlignment="1">
      <alignment vertical="center" wrapText="1"/>
    </xf>
    <xf numFmtId="167" fontId="10" fillId="0" borderId="1" xfId="0" applyNumberFormat="1" applyFont="1" applyBorder="1" applyAlignment="1">
      <alignment horizontal="right" vertical="center" wrapText="1"/>
    </xf>
    <xf numFmtId="176" fontId="10" fillId="0" borderId="1" xfId="11" applyNumberFormat="1" applyFont="1" applyBorder="1" applyAlignment="1">
      <alignment vertical="center" wrapText="1"/>
    </xf>
    <xf numFmtId="167" fontId="10" fillId="0" borderId="9" xfId="0" applyNumberFormat="1" applyFont="1" applyBorder="1" applyAlignment="1">
      <alignment horizontal="right" vertical="center" wrapText="1"/>
    </xf>
    <xf numFmtId="167" fontId="17" fillId="0" borderId="9" xfId="0" applyNumberFormat="1" applyFont="1" applyBorder="1" applyAlignment="1">
      <alignment horizontal="right" vertical="center" wrapText="1"/>
    </xf>
    <xf numFmtId="167" fontId="17" fillId="3" borderId="7" xfId="0" applyNumberFormat="1" applyFont="1" applyFill="1" applyBorder="1" applyAlignment="1">
      <alignment horizontal="right" vertical="center" wrapText="1"/>
    </xf>
    <xf numFmtId="174" fontId="47" fillId="0" borderId="0" xfId="10" applyNumberFormat="1" applyFont="1"/>
    <xf numFmtId="0" fontId="10" fillId="0" borderId="13" xfId="67" applyFont="1" applyBorder="1" applyAlignment="1">
      <alignment horizontal="justify" wrapText="1"/>
    </xf>
    <xf numFmtId="0" fontId="58" fillId="0" borderId="0" xfId="67" applyAlignment="1">
      <alignment horizontal="justify"/>
    </xf>
    <xf numFmtId="0" fontId="0" fillId="0" borderId="0" xfId="0" applyAlignment="1">
      <alignment horizontal="justify"/>
    </xf>
    <xf numFmtId="0" fontId="50" fillId="0" borderId="2" xfId="67" applyFont="1" applyBorder="1" applyAlignment="1">
      <alignment horizontal="center" vertical="center" wrapText="1"/>
    </xf>
    <xf numFmtId="0" fontId="47" fillId="0" borderId="9" xfId="67" applyFont="1" applyBorder="1" applyAlignment="1">
      <alignment horizontal="justify" vertical="center" wrapText="1"/>
    </xf>
    <xf numFmtId="0" fontId="47" fillId="0" borderId="9" xfId="67" applyFont="1" applyBorder="1" applyAlignment="1">
      <alignment horizontal="center" vertical="center" wrapText="1"/>
    </xf>
    <xf numFmtId="173" fontId="47" fillId="0" borderId="9" xfId="67" applyNumberFormat="1" applyFont="1" applyBorder="1" applyAlignment="1">
      <alignment horizontal="right" vertical="center" wrapText="1"/>
    </xf>
    <xf numFmtId="173" fontId="47" fillId="0" borderId="9" xfId="68" applyNumberFormat="1" applyFont="1" applyBorder="1" applyAlignment="1">
      <alignment horizontal="right" vertical="center" wrapText="1"/>
    </xf>
    <xf numFmtId="173" fontId="50" fillId="0" borderId="1" xfId="67" applyNumberFormat="1" applyFont="1" applyBorder="1" applyAlignment="1">
      <alignment horizontal="right" vertical="center" wrapText="1"/>
    </xf>
    <xf numFmtId="0" fontId="81" fillId="0" borderId="0" xfId="0" applyFont="1"/>
    <xf numFmtId="0" fontId="47" fillId="0" borderId="7" xfId="0" applyFont="1" applyBorder="1" applyAlignment="1">
      <alignment horizontal="justify" vertical="center" wrapText="1"/>
    </xf>
    <xf numFmtId="0" fontId="17" fillId="0" borderId="0" xfId="0" applyFont="1"/>
    <xf numFmtId="0" fontId="83" fillId="0" borderId="0" xfId="0" applyFont="1"/>
    <xf numFmtId="167" fontId="83" fillId="0" borderId="0" xfId="0" applyNumberFormat="1" applyFont="1"/>
    <xf numFmtId="0" fontId="50" fillId="3" borderId="1" xfId="61" applyFont="1" applyFill="1" applyBorder="1" applyAlignment="1">
      <alignment horizontal="justify" vertical="center" wrapText="1"/>
    </xf>
    <xf numFmtId="0" fontId="50" fillId="0" borderId="15" xfId="0" applyFont="1" applyBorder="1" applyAlignment="1">
      <alignment horizontal="center" vertical="center" wrapText="1"/>
    </xf>
    <xf numFmtId="0" fontId="55" fillId="0" borderId="7" xfId="0" applyFont="1" applyBorder="1" applyAlignment="1">
      <alignment horizontal="center" vertical="center" wrapText="1"/>
    </xf>
    <xf numFmtId="0" fontId="47" fillId="0" borderId="7" xfId="0" applyFont="1" applyBorder="1" applyAlignment="1">
      <alignment horizontal="center" vertical="center" wrapText="1"/>
    </xf>
    <xf numFmtId="0" fontId="77" fillId="0" borderId="7" xfId="0" applyFont="1" applyBorder="1" applyAlignment="1">
      <alignment horizontal="center" vertical="center" wrapText="1"/>
    </xf>
    <xf numFmtId="167" fontId="17" fillId="3" borderId="9" xfId="0" applyNumberFormat="1" applyFont="1" applyFill="1" applyBorder="1" applyAlignment="1">
      <alignment horizontal="right" vertical="center" wrapText="1"/>
    </xf>
    <xf numFmtId="174" fontId="17" fillId="3" borderId="9" xfId="10" applyNumberFormat="1" applyFont="1" applyFill="1" applyBorder="1" applyAlignment="1">
      <alignment horizontal="right" vertical="center" wrapText="1"/>
    </xf>
    <xf numFmtId="167" fontId="47" fillId="3" borderId="0" xfId="0" applyNumberFormat="1" applyFont="1" applyFill="1"/>
    <xf numFmtId="0" fontId="17" fillId="0" borderId="3" xfId="0" applyFont="1" applyBorder="1" applyAlignment="1">
      <alignment horizontal="center" vertical="center" wrapText="1"/>
    </xf>
    <xf numFmtId="185" fontId="17" fillId="3" borderId="9" xfId="0" applyNumberFormat="1" applyFont="1" applyFill="1" applyBorder="1" applyAlignment="1">
      <alignment horizontal="right" vertical="center" wrapText="1"/>
    </xf>
    <xf numFmtId="178" fontId="17" fillId="3" borderId="9" xfId="10" applyNumberFormat="1" applyFont="1" applyFill="1" applyBorder="1" applyAlignment="1">
      <alignment horizontal="right" vertical="center" wrapText="1"/>
    </xf>
    <xf numFmtId="167" fontId="17" fillId="0" borderId="1" xfId="0" applyNumberFormat="1" applyFont="1" applyBorder="1" applyAlignment="1">
      <alignment horizontal="right" vertical="center" wrapText="1"/>
    </xf>
    <xf numFmtId="0" fontId="38" fillId="0" borderId="8" xfId="0" applyFont="1" applyBorder="1" applyAlignment="1">
      <alignment horizontal="center" vertical="center" wrapText="1"/>
    </xf>
    <xf numFmtId="167" fontId="38" fillId="0" borderId="8" xfId="0" applyNumberFormat="1" applyFont="1" applyBorder="1" applyAlignment="1">
      <alignment horizontal="right" vertical="center" wrapText="1"/>
    </xf>
    <xf numFmtId="0" fontId="38" fillId="0" borderId="0" xfId="0" applyFont="1"/>
    <xf numFmtId="0" fontId="38" fillId="0" borderId="15" xfId="0" applyFont="1" applyBorder="1" applyAlignment="1">
      <alignment horizontal="center" vertical="center" wrapText="1"/>
    </xf>
    <xf numFmtId="0" fontId="38" fillId="0" borderId="7" xfId="0" applyFont="1" applyBorder="1" applyAlignment="1">
      <alignment vertical="center" wrapText="1"/>
    </xf>
    <xf numFmtId="167" fontId="38" fillId="0" borderId="7" xfId="0" applyNumberFormat="1" applyFont="1" applyBorder="1" applyAlignment="1">
      <alignment horizontal="right" vertical="center" wrapText="1"/>
    </xf>
    <xf numFmtId="167" fontId="38" fillId="0" borderId="15" xfId="0" applyNumberFormat="1" applyFont="1" applyBorder="1" applyAlignment="1">
      <alignment horizontal="right" vertical="center" wrapText="1"/>
    </xf>
    <xf numFmtId="167" fontId="38" fillId="0" borderId="9" xfId="0" applyNumberFormat="1" applyFont="1" applyBorder="1" applyAlignment="1">
      <alignment horizontal="right" vertical="center" wrapText="1"/>
    </xf>
    <xf numFmtId="167" fontId="38" fillId="0" borderId="0" xfId="0" applyNumberFormat="1" applyFont="1"/>
    <xf numFmtId="174" fontId="47" fillId="0" borderId="0" xfId="10" applyNumberFormat="1" applyFont="1" applyFill="1"/>
    <xf numFmtId="0" fontId="50" fillId="0" borderId="2" xfId="0" applyFont="1" applyBorder="1" applyAlignment="1">
      <alignment horizontal="center" vertical="center" wrapText="1"/>
    </xf>
    <xf numFmtId="0" fontId="50" fillId="0" borderId="2" xfId="0" applyFont="1" applyBorder="1" applyAlignment="1">
      <alignment vertical="center" wrapText="1"/>
    </xf>
    <xf numFmtId="167" fontId="37" fillId="0" borderId="2" xfId="0" applyNumberFormat="1" applyFont="1" applyBorder="1" applyAlignment="1">
      <alignment horizontal="right" vertical="center" wrapText="1"/>
    </xf>
    <xf numFmtId="0" fontId="37" fillId="0" borderId="1" xfId="0" applyFont="1" applyBorder="1" applyAlignment="1">
      <alignment horizontal="center" vertical="center" wrapText="1"/>
    </xf>
    <xf numFmtId="0" fontId="37" fillId="0" borderId="1" xfId="0" applyFont="1" applyBorder="1" applyAlignment="1">
      <alignment vertical="center" wrapText="1"/>
    </xf>
    <xf numFmtId="167" fontId="37" fillId="0" borderId="1" xfId="0" applyNumberFormat="1" applyFont="1" applyBorder="1" applyAlignment="1">
      <alignment horizontal="right" vertical="center" wrapText="1"/>
    </xf>
    <xf numFmtId="167" fontId="86" fillId="0" borderId="9" xfId="0" applyNumberFormat="1" applyFont="1" applyBorder="1" applyAlignment="1">
      <alignment horizontal="right" vertical="center" wrapText="1"/>
    </xf>
    <xf numFmtId="167" fontId="86" fillId="0" borderId="7" xfId="0" applyNumberFormat="1" applyFont="1" applyBorder="1" applyAlignment="1">
      <alignment horizontal="right" vertical="center" wrapText="1"/>
    </xf>
    <xf numFmtId="167" fontId="86" fillId="0" borderId="15" xfId="0" applyNumberFormat="1" applyFont="1" applyBorder="1" applyAlignment="1">
      <alignment horizontal="right" vertical="center" wrapText="1"/>
    </xf>
    <xf numFmtId="0" fontId="37" fillId="0" borderId="1" xfId="0" applyFont="1" applyBorder="1" applyAlignment="1">
      <alignment horizontal="justify" vertical="center" wrapText="1"/>
    </xf>
    <xf numFmtId="0" fontId="38" fillId="0" borderId="9" xfId="0" applyFont="1" applyBorder="1" applyAlignment="1">
      <alignment horizontal="center" vertical="center" wrapText="1"/>
    </xf>
    <xf numFmtId="0" fontId="38" fillId="0" borderId="7" xfId="0" applyFont="1" applyBorder="1" applyAlignment="1">
      <alignment horizontal="center" vertical="center" wrapText="1"/>
    </xf>
    <xf numFmtId="175" fontId="47" fillId="0" borderId="0" xfId="0" applyNumberFormat="1" applyFont="1"/>
    <xf numFmtId="0" fontId="77" fillId="0" borderId="0" xfId="0" applyFont="1"/>
    <xf numFmtId="0" fontId="38" fillId="0" borderId="7" xfId="0" applyFont="1" applyBorder="1" applyAlignment="1">
      <alignment horizontal="justify" vertical="center" wrapText="1"/>
    </xf>
    <xf numFmtId="184" fontId="47" fillId="0" borderId="0" xfId="11" applyNumberFormat="1" applyFont="1" applyFill="1"/>
    <xf numFmtId="0" fontId="86" fillId="0" borderId="7" xfId="0" applyFont="1" applyBorder="1" applyAlignment="1">
      <alignment horizontal="justify" vertical="center" wrapText="1"/>
    </xf>
    <xf numFmtId="176" fontId="47" fillId="0" borderId="0" xfId="11" applyNumberFormat="1" applyFont="1" applyFill="1"/>
    <xf numFmtId="167" fontId="50" fillId="0" borderId="15" xfId="0" applyNumberFormat="1" applyFont="1" applyBorder="1" applyAlignment="1">
      <alignment horizontal="right" vertical="center" wrapText="1"/>
    </xf>
    <xf numFmtId="0" fontId="38" fillId="3" borderId="1" xfId="0" applyFont="1" applyFill="1" applyBorder="1" applyAlignment="1">
      <alignment horizontal="center" vertical="center" wrapText="1"/>
    </xf>
    <xf numFmtId="184" fontId="47" fillId="0" borderId="0" xfId="11" applyNumberFormat="1" applyFont="1"/>
    <xf numFmtId="186" fontId="38" fillId="0" borderId="0" xfId="11" applyNumberFormat="1" applyFont="1" applyFill="1"/>
    <xf numFmtId="167" fontId="47" fillId="3" borderId="9" xfId="0" applyNumberFormat="1" applyFont="1" applyFill="1" applyBorder="1" applyAlignment="1">
      <alignment horizontal="right" vertical="center" wrapText="1"/>
    </xf>
    <xf numFmtId="174" fontId="47" fillId="3" borderId="0" xfId="10" applyNumberFormat="1" applyFont="1" applyFill="1"/>
    <xf numFmtId="166" fontId="47" fillId="3" borderId="0" xfId="11" applyFont="1" applyFill="1"/>
    <xf numFmtId="0" fontId="47" fillId="3" borderId="7" xfId="0" applyFont="1" applyFill="1" applyBorder="1" applyAlignment="1">
      <alignment horizontal="center" vertical="center" wrapText="1"/>
    </xf>
    <xf numFmtId="0" fontId="47" fillId="0" borderId="7" xfId="0" applyFont="1" applyBorder="1" applyAlignment="1">
      <alignment vertical="center" wrapText="1"/>
    </xf>
    <xf numFmtId="167" fontId="47" fillId="0" borderId="9" xfId="0" applyNumberFormat="1" applyFont="1" applyBorder="1" applyAlignment="1">
      <alignment horizontal="right" vertical="center" wrapText="1"/>
    </xf>
    <xf numFmtId="166" fontId="47" fillId="0" borderId="0" xfId="11" applyFont="1" applyFill="1"/>
    <xf numFmtId="190" fontId="47" fillId="0" borderId="0" xfId="11" applyNumberFormat="1" applyFont="1" applyFill="1"/>
    <xf numFmtId="0" fontId="47" fillId="0" borderId="15" xfId="0" applyFont="1" applyBorder="1" applyAlignment="1">
      <alignment horizontal="center" vertical="center" wrapText="1"/>
    </xf>
    <xf numFmtId="167" fontId="47" fillId="0" borderId="7" xfId="0" applyNumberFormat="1" applyFont="1" applyBorder="1" applyAlignment="1">
      <alignment horizontal="right" vertical="center" wrapText="1"/>
    </xf>
    <xf numFmtId="0" fontId="47" fillId="0" borderId="8" xfId="0" applyFont="1" applyBorder="1" applyAlignment="1">
      <alignment vertical="center" wrapText="1"/>
    </xf>
    <xf numFmtId="167" fontId="47" fillId="0" borderId="8" xfId="0" applyNumberFormat="1" applyFont="1" applyBorder="1" applyAlignment="1">
      <alignment horizontal="right" vertical="center" wrapText="1"/>
    </xf>
    <xf numFmtId="0" fontId="77" fillId="0" borderId="9" xfId="0" applyFont="1" applyBorder="1" applyAlignment="1">
      <alignment horizontal="center" vertical="center" wrapText="1"/>
    </xf>
    <xf numFmtId="3" fontId="47" fillId="0" borderId="0" xfId="0" applyNumberFormat="1" applyFont="1"/>
    <xf numFmtId="169" fontId="72" fillId="0" borderId="0" xfId="0" applyNumberFormat="1" applyFont="1"/>
    <xf numFmtId="173" fontId="72" fillId="0" borderId="0" xfId="0" applyNumberFormat="1" applyFont="1"/>
    <xf numFmtId="173" fontId="48" fillId="0" borderId="0" xfId="0" applyNumberFormat="1" applyFont="1"/>
    <xf numFmtId="0" fontId="72" fillId="0" borderId="1" xfId="0" applyFont="1" applyBorder="1" applyAlignment="1">
      <alignment horizontal="center" vertical="center" wrapText="1"/>
    </xf>
    <xf numFmtId="3" fontId="72" fillId="0" borderId="1" xfId="0" applyNumberFormat="1" applyFont="1" applyBorder="1" applyAlignment="1">
      <alignment horizontal="center" vertical="center" wrapText="1"/>
    </xf>
    <xf numFmtId="0" fontId="72" fillId="0" borderId="0" xfId="0" applyFont="1"/>
    <xf numFmtId="0" fontId="50" fillId="0" borderId="1" xfId="0" applyFont="1" applyBorder="1" applyAlignment="1">
      <alignment horizontal="center" vertical="center" wrapText="1"/>
    </xf>
    <xf numFmtId="0" fontId="50" fillId="0" borderId="1" xfId="0" applyFont="1" applyBorder="1" applyAlignment="1">
      <alignment horizontal="justify" vertical="center" wrapText="1"/>
    </xf>
    <xf numFmtId="0" fontId="47" fillId="0" borderId="8" xfId="0" applyFont="1" applyBorder="1" applyAlignment="1">
      <alignment horizontal="justify" vertical="center" wrapText="1"/>
    </xf>
    <xf numFmtId="176" fontId="47" fillId="0" borderId="0" xfId="11" applyNumberFormat="1" applyFont="1"/>
    <xf numFmtId="184" fontId="50" fillId="0" borderId="0" xfId="11" applyNumberFormat="1" applyFont="1"/>
    <xf numFmtId="173" fontId="47" fillId="0" borderId="0" xfId="0" applyNumberFormat="1" applyFont="1"/>
    <xf numFmtId="165" fontId="11" fillId="0" borderId="0" xfId="10" applyFont="1" applyAlignment="1">
      <alignment horizontal="right" vertical="center"/>
    </xf>
    <xf numFmtId="165" fontId="10" fillId="0" borderId="1" xfId="10" applyFont="1" applyBorder="1" applyAlignment="1">
      <alignment horizontal="center" vertical="center" wrapText="1"/>
    </xf>
    <xf numFmtId="166" fontId="50" fillId="0" borderId="0" xfId="11" applyFont="1"/>
    <xf numFmtId="165" fontId="17" fillId="0" borderId="7" xfId="10" applyFont="1" applyBorder="1" applyAlignment="1">
      <alignment horizontal="right" vertical="center" wrapText="1"/>
    </xf>
    <xf numFmtId="166" fontId="47" fillId="0" borderId="0" xfId="11" applyFont="1"/>
    <xf numFmtId="167" fontId="10" fillId="0" borderId="7" xfId="0" applyNumberFormat="1" applyFont="1" applyBorder="1" applyAlignment="1">
      <alignment horizontal="right" vertical="center" wrapText="1"/>
    </xf>
    <xf numFmtId="165" fontId="10" fillId="0" borderId="7" xfId="10" applyFont="1" applyBorder="1" applyAlignment="1">
      <alignment horizontal="right" vertical="center" wrapText="1"/>
    </xf>
    <xf numFmtId="0" fontId="17" fillId="3" borderId="7" xfId="0" applyFont="1" applyFill="1" applyBorder="1" applyAlignment="1">
      <alignment vertical="center" wrapText="1"/>
    </xf>
    <xf numFmtId="165" fontId="11" fillId="0" borderId="7" xfId="10" applyFont="1" applyBorder="1" applyAlignment="1">
      <alignment horizontal="right" vertical="center" wrapText="1"/>
    </xf>
    <xf numFmtId="0" fontId="55" fillId="0" borderId="0" xfId="0" applyFont="1"/>
    <xf numFmtId="184" fontId="55" fillId="0" borderId="0" xfId="11" applyNumberFormat="1" applyFont="1"/>
    <xf numFmtId="165" fontId="47" fillId="0" borderId="0" xfId="10" applyFont="1"/>
    <xf numFmtId="176" fontId="50" fillId="0" borderId="0" xfId="11" applyNumberFormat="1" applyFont="1"/>
    <xf numFmtId="174" fontId="47" fillId="0" borderId="0" xfId="0" applyNumberFormat="1" applyFont="1"/>
    <xf numFmtId="0" fontId="10" fillId="3" borderId="0" xfId="0" applyFont="1" applyFill="1" applyAlignment="1">
      <alignment horizontal="right" vertical="center"/>
    </xf>
    <xf numFmtId="0" fontId="37" fillId="0" borderId="0" xfId="0" applyFont="1"/>
    <xf numFmtId="167" fontId="37" fillId="0" borderId="0" xfId="0" applyNumberFormat="1" applyFont="1"/>
    <xf numFmtId="167" fontId="37" fillId="0" borderId="6" xfId="0" applyNumberFormat="1" applyFont="1" applyBorder="1" applyAlignment="1">
      <alignment horizontal="right" vertical="center" wrapText="1"/>
    </xf>
    <xf numFmtId="0" fontId="50" fillId="3" borderId="0" xfId="0" applyFont="1" applyFill="1"/>
    <xf numFmtId="177" fontId="47" fillId="3" borderId="0" xfId="10" applyNumberFormat="1" applyFont="1" applyFill="1"/>
    <xf numFmtId="176" fontId="47" fillId="3" borderId="0" xfId="11" applyNumberFormat="1" applyFont="1" applyFill="1"/>
    <xf numFmtId="0" fontId="47" fillId="3" borderId="0" xfId="0" applyFont="1" applyFill="1" applyAlignment="1">
      <alignment vertical="center"/>
    </xf>
    <xf numFmtId="177" fontId="47" fillId="3" borderId="0" xfId="10" applyNumberFormat="1" applyFont="1" applyFill="1" applyAlignment="1">
      <alignment vertical="center"/>
    </xf>
    <xf numFmtId="176" fontId="47" fillId="3" borderId="0" xfId="11" applyNumberFormat="1" applyFont="1" applyFill="1" applyAlignment="1">
      <alignment vertical="center"/>
    </xf>
    <xf numFmtId="166" fontId="47" fillId="3" borderId="0" xfId="11" applyFont="1" applyFill="1" applyAlignment="1">
      <alignment vertical="center"/>
    </xf>
    <xf numFmtId="0" fontId="11" fillId="3" borderId="0" xfId="0" applyFont="1" applyFill="1" applyAlignment="1">
      <alignment horizontal="right" vertical="center"/>
    </xf>
    <xf numFmtId="176" fontId="38" fillId="3" borderId="0" xfId="11" applyNumberFormat="1" applyFont="1" applyFill="1"/>
    <xf numFmtId="167" fontId="10" fillId="3" borderId="2" xfId="0" applyNumberFormat="1" applyFont="1" applyFill="1" applyBorder="1" applyAlignment="1">
      <alignment horizontal="right" vertical="center" wrapText="1"/>
    </xf>
    <xf numFmtId="167" fontId="10" fillId="3" borderId="1" xfId="0" applyNumberFormat="1" applyFont="1" applyFill="1" applyBorder="1" applyAlignment="1">
      <alignment horizontal="right" vertical="center" wrapText="1"/>
    </xf>
    <xf numFmtId="0" fontId="47" fillId="0" borderId="0" xfId="0" applyFont="1" applyAlignment="1">
      <alignment vertical="center"/>
    </xf>
    <xf numFmtId="167" fontId="17" fillId="3" borderId="3" xfId="0" applyNumberFormat="1" applyFont="1" applyFill="1" applyBorder="1" applyAlignment="1">
      <alignment horizontal="right" vertical="center" wrapText="1"/>
    </xf>
    <xf numFmtId="174" fontId="17" fillId="3" borderId="3" xfId="10" applyNumberFormat="1" applyFont="1" applyFill="1" applyBorder="1" applyAlignment="1">
      <alignment horizontal="right" vertical="center" wrapText="1"/>
    </xf>
    <xf numFmtId="0" fontId="50" fillId="3" borderId="1" xfId="0" applyFont="1" applyFill="1" applyBorder="1" applyAlignment="1">
      <alignment horizontal="center" vertical="center"/>
    </xf>
    <xf numFmtId="0" fontId="17" fillId="0" borderId="3" xfId="0" applyFont="1" applyBorder="1" applyAlignment="1">
      <alignment vertical="center" wrapText="1"/>
    </xf>
    <xf numFmtId="0" fontId="51"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0" xfId="0" applyFont="1" applyAlignment="1">
      <alignment horizontal="center"/>
    </xf>
    <xf numFmtId="173" fontId="38" fillId="0" borderId="0" xfId="0" applyNumberFormat="1" applyFont="1"/>
    <xf numFmtId="0" fontId="37" fillId="0" borderId="6" xfId="0" applyFont="1" applyBorder="1" applyAlignment="1">
      <alignment horizontal="center" vertical="center" wrapText="1"/>
    </xf>
    <xf numFmtId="0" fontId="38" fillId="26" borderId="0" xfId="0" applyFont="1" applyFill="1" applyAlignment="1">
      <alignment horizontal="right"/>
    </xf>
    <xf numFmtId="174" fontId="38" fillId="0" borderId="0" xfId="0" applyNumberFormat="1" applyFont="1"/>
    <xf numFmtId="0" fontId="37" fillId="0" borderId="7" xfId="0" applyFont="1" applyBorder="1" applyAlignment="1">
      <alignment horizontal="center" vertical="center" wrapText="1"/>
    </xf>
    <xf numFmtId="4" fontId="38" fillId="0" borderId="0" xfId="0" applyNumberFormat="1" applyFont="1"/>
    <xf numFmtId="0" fontId="50" fillId="0" borderId="7" xfId="0" applyFont="1" applyBorder="1" applyAlignment="1">
      <alignment horizontal="center" vertical="center" wrapText="1"/>
    </xf>
    <xf numFmtId="0" fontId="50" fillId="0" borderId="7" xfId="0" applyFont="1" applyBorder="1" applyAlignment="1">
      <alignment vertical="center" wrapText="1"/>
    </xf>
    <xf numFmtId="173" fontId="37" fillId="0" borderId="0" xfId="0" applyNumberFormat="1" applyFont="1"/>
    <xf numFmtId="177" fontId="38" fillId="0" borderId="0" xfId="0" applyNumberFormat="1" applyFont="1"/>
    <xf numFmtId="175" fontId="38" fillId="0" borderId="0" xfId="0" applyNumberFormat="1" applyFont="1"/>
    <xf numFmtId="175" fontId="37" fillId="0" borderId="0" xfId="0" applyNumberFormat="1" applyFont="1"/>
    <xf numFmtId="176" fontId="37" fillId="0" borderId="0" xfId="11" applyNumberFormat="1" applyFont="1"/>
    <xf numFmtId="174" fontId="17" fillId="0" borderId="0" xfId="0" applyNumberFormat="1" applyFont="1"/>
    <xf numFmtId="174" fontId="47" fillId="0" borderId="0" xfId="11" applyNumberFormat="1" applyFont="1"/>
    <xf numFmtId="174" fontId="10" fillId="0" borderId="0" xfId="0" applyNumberFormat="1" applyFont="1" applyAlignment="1">
      <alignment horizontal="center"/>
    </xf>
    <xf numFmtId="0" fontId="87" fillId="0" borderId="0" xfId="0" applyFont="1"/>
    <xf numFmtId="4" fontId="47" fillId="0" borderId="0" xfId="0" applyNumberFormat="1" applyFont="1"/>
    <xf numFmtId="3" fontId="37" fillId="0" borderId="1" xfId="0" applyNumberFormat="1" applyFont="1" applyBorder="1" applyAlignment="1">
      <alignment horizontal="center" vertical="center" wrapText="1"/>
    </xf>
    <xf numFmtId="165" fontId="37" fillId="3" borderId="1" xfId="11" applyNumberFormat="1" applyFont="1" applyFill="1" applyBorder="1" applyAlignment="1">
      <alignment horizontal="center" vertical="center" wrapText="1"/>
    </xf>
    <xf numFmtId="0" fontId="50" fillId="0" borderId="9" xfId="0" applyFont="1" applyBorder="1" applyAlignment="1">
      <alignment horizontal="center" vertical="center" wrapText="1"/>
    </xf>
    <xf numFmtId="187" fontId="47" fillId="0" borderId="0" xfId="0" applyNumberFormat="1" applyFont="1"/>
    <xf numFmtId="167" fontId="50" fillId="0" borderId="7" xfId="0" applyNumberFormat="1" applyFont="1" applyBorder="1" applyAlignment="1">
      <alignment horizontal="right" vertical="center" wrapText="1"/>
    </xf>
    <xf numFmtId="0" fontId="47" fillId="0" borderId="9" xfId="0" applyFont="1" applyBorder="1" applyAlignment="1">
      <alignment horizontal="center" vertical="center" wrapText="1"/>
    </xf>
    <xf numFmtId="0" fontId="47" fillId="0" borderId="15" xfId="0" applyFont="1" applyBorder="1" applyAlignment="1">
      <alignment horizontal="justify" vertical="center" wrapText="1"/>
    </xf>
    <xf numFmtId="167" fontId="47" fillId="0" borderId="15" xfId="0" applyNumberFormat="1" applyFont="1" applyBorder="1" applyAlignment="1">
      <alignment horizontal="right" vertical="center" wrapText="1"/>
    </xf>
    <xf numFmtId="0" fontId="50" fillId="0" borderId="3" xfId="0" applyFont="1" applyBorder="1" applyAlignment="1">
      <alignment horizontal="justify" vertical="center" wrapText="1"/>
    </xf>
    <xf numFmtId="167" fontId="50" fillId="0" borderId="1" xfId="0" applyNumberFormat="1" applyFont="1" applyBorder="1" applyAlignment="1">
      <alignment horizontal="right" vertical="center" wrapText="1"/>
    </xf>
    <xf numFmtId="192" fontId="47" fillId="0" borderId="0" xfId="0" applyNumberFormat="1" applyFont="1"/>
    <xf numFmtId="191" fontId="47" fillId="0" borderId="0" xfId="0" applyNumberFormat="1" applyFont="1"/>
    <xf numFmtId="0" fontId="50" fillId="0" borderId="0" xfId="0" applyFont="1" applyAlignment="1">
      <alignment vertical="center"/>
    </xf>
    <xf numFmtId="0" fontId="47" fillId="26" borderId="0" xfId="0" applyFont="1" applyFill="1"/>
    <xf numFmtId="0" fontId="10" fillId="0" borderId="0" xfId="0" applyFont="1" applyAlignment="1">
      <alignment vertical="center"/>
    </xf>
    <xf numFmtId="0" fontId="47" fillId="0" borderId="1" xfId="0" applyFont="1" applyBorder="1" applyAlignment="1">
      <alignment horizontal="center" vertical="center" wrapText="1"/>
    </xf>
    <xf numFmtId="0" fontId="50" fillId="0" borderId="1" xfId="0" applyFont="1" applyBorder="1" applyAlignment="1">
      <alignment horizontal="left" vertical="center" wrapText="1"/>
    </xf>
    <xf numFmtId="0" fontId="50" fillId="0" borderId="1" xfId="0" applyFont="1" applyBorder="1" applyAlignment="1">
      <alignment vertical="center" wrapText="1"/>
    </xf>
    <xf numFmtId="167" fontId="47" fillId="0" borderId="1" xfId="0" applyNumberFormat="1" applyFont="1" applyBorder="1" applyAlignment="1">
      <alignment horizontal="right" vertical="center" wrapText="1"/>
    </xf>
    <xf numFmtId="0" fontId="47" fillId="0" borderId="1" xfId="0" applyFont="1" applyBorder="1" applyAlignment="1">
      <alignment vertical="center" wrapText="1"/>
    </xf>
    <xf numFmtId="0" fontId="47" fillId="0" borderId="1" xfId="0" applyFont="1" applyBorder="1" applyAlignment="1">
      <alignment vertical="center"/>
    </xf>
    <xf numFmtId="167" fontId="47" fillId="0" borderId="1" xfId="0" applyNumberFormat="1" applyFont="1" applyBorder="1" applyAlignment="1">
      <alignment vertical="center" wrapText="1"/>
    </xf>
    <xf numFmtId="0" fontId="17" fillId="0" borderId="1" xfId="0" applyFont="1" applyBorder="1" applyAlignment="1">
      <alignment horizontal="center" vertical="center" wrapText="1"/>
    </xf>
    <xf numFmtId="166" fontId="38" fillId="0" borderId="0" xfId="11" applyFont="1"/>
    <xf numFmtId="184" fontId="37" fillId="0" borderId="0" xfId="11" applyNumberFormat="1" applyFont="1"/>
    <xf numFmtId="184" fontId="38" fillId="0" borderId="0" xfId="11" applyNumberFormat="1" applyFont="1"/>
    <xf numFmtId="176" fontId="38" fillId="0" borderId="0" xfId="11" applyNumberFormat="1" applyFont="1" applyFill="1"/>
    <xf numFmtId="3" fontId="10" fillId="0" borderId="1" xfId="0" applyNumberFormat="1" applyFont="1" applyBorder="1" applyAlignment="1">
      <alignment horizontal="right" vertical="center" wrapText="1"/>
    </xf>
    <xf numFmtId="190" fontId="50" fillId="0" borderId="0" xfId="11" applyNumberFormat="1" applyFont="1"/>
    <xf numFmtId="186" fontId="50" fillId="0" borderId="0" xfId="11" applyNumberFormat="1" applyFont="1"/>
    <xf numFmtId="167" fontId="9" fillId="0" borderId="1" xfId="0" applyNumberFormat="1" applyFont="1" applyBorder="1" applyAlignment="1">
      <alignment horizontal="right" vertical="center" wrapText="1"/>
    </xf>
    <xf numFmtId="176" fontId="38" fillId="0" borderId="1" xfId="11" applyNumberFormat="1" applyFont="1" applyFill="1" applyBorder="1" applyAlignment="1">
      <alignment horizontal="center" vertical="center" wrapText="1"/>
    </xf>
    <xf numFmtId="176" fontId="48" fillId="0" borderId="0" xfId="11" applyNumberFormat="1" applyFont="1" applyFill="1"/>
    <xf numFmtId="0" fontId="38" fillId="0" borderId="0" xfId="0" applyFont="1" applyAlignment="1">
      <alignment vertical="center"/>
    </xf>
    <xf numFmtId="165" fontId="38" fillId="0" borderId="0" xfId="10" applyFont="1" applyFill="1" applyAlignment="1">
      <alignment horizontal="center" vertical="center"/>
    </xf>
    <xf numFmtId="198" fontId="38" fillId="0" borderId="0" xfId="11" applyNumberFormat="1" applyFont="1"/>
    <xf numFmtId="198" fontId="37" fillId="0" borderId="0" xfId="11" applyNumberFormat="1" applyFont="1"/>
    <xf numFmtId="0" fontId="17" fillId="27" borderId="9" xfId="0" applyFont="1" applyFill="1" applyBorder="1" applyAlignment="1">
      <alignment horizontal="center" vertical="center" wrapText="1"/>
    </xf>
    <xf numFmtId="167" fontId="17" fillId="27" borderId="9" xfId="0" applyNumberFormat="1" applyFont="1" applyFill="1" applyBorder="1" applyAlignment="1">
      <alignment horizontal="right" vertical="center" wrapText="1"/>
    </xf>
    <xf numFmtId="174" fontId="17" fillId="27" borderId="9" xfId="10" applyNumberFormat="1" applyFont="1" applyFill="1" applyBorder="1" applyAlignment="1">
      <alignment horizontal="right" vertical="center" wrapText="1"/>
    </xf>
    <xf numFmtId="167" fontId="38" fillId="0" borderId="0" xfId="0" applyNumberFormat="1" applyFont="1" applyAlignment="1">
      <alignment horizontal="center"/>
    </xf>
    <xf numFmtId="209" fontId="47" fillId="3" borderId="0" xfId="0" applyNumberFormat="1" applyFont="1" applyFill="1"/>
    <xf numFmtId="0" fontId="90" fillId="0" borderId="0" xfId="0" applyFont="1"/>
    <xf numFmtId="0" fontId="92" fillId="0" borderId="0" xfId="0" applyFont="1"/>
    <xf numFmtId="183" fontId="83" fillId="0" borderId="0" xfId="0" applyNumberFormat="1" applyFont="1"/>
    <xf numFmtId="176" fontId="47" fillId="0" borderId="0" xfId="0" applyNumberFormat="1" applyFont="1"/>
    <xf numFmtId="174" fontId="47" fillId="3" borderId="0" xfId="0" applyNumberFormat="1" applyFont="1" applyFill="1"/>
    <xf numFmtId="205" fontId="47" fillId="3" borderId="0" xfId="0" applyNumberFormat="1" applyFont="1" applyFill="1"/>
    <xf numFmtId="222" fontId="47" fillId="0" borderId="0" xfId="0" applyNumberFormat="1" applyFont="1"/>
    <xf numFmtId="189" fontId="47" fillId="3" borderId="0" xfId="0" applyNumberFormat="1" applyFont="1" applyFill="1"/>
    <xf numFmtId="225" fontId="47" fillId="3" borderId="0" xfId="0" applyNumberFormat="1" applyFont="1" applyFill="1"/>
    <xf numFmtId="176" fontId="47" fillId="3" borderId="0" xfId="0" applyNumberFormat="1" applyFont="1" applyFill="1"/>
    <xf numFmtId="211" fontId="47" fillId="3" borderId="0" xfId="0" applyNumberFormat="1" applyFont="1" applyFill="1"/>
    <xf numFmtId="0" fontId="10" fillId="0" borderId="0" xfId="0" applyFont="1" applyAlignment="1">
      <alignment vertical="center" wrapText="1"/>
    </xf>
    <xf numFmtId="213" fontId="50" fillId="0" borderId="0" xfId="11" applyNumberFormat="1" applyFont="1" applyFill="1"/>
    <xf numFmtId="0" fontId="47" fillId="0" borderId="1" xfId="0" applyFont="1" applyBorder="1" applyAlignment="1">
      <alignment horizontal="center" vertical="center"/>
    </xf>
    <xf numFmtId="0" fontId="47" fillId="0" borderId="0" xfId="0" applyFont="1" applyAlignment="1">
      <alignment horizontal="center"/>
    </xf>
    <xf numFmtId="0" fontId="47" fillId="0" borderId="1" xfId="0" applyFont="1" applyBorder="1"/>
    <xf numFmtId="213" fontId="47" fillId="0" borderId="0" xfId="11" applyNumberFormat="1" applyFont="1"/>
    <xf numFmtId="213" fontId="47" fillId="0" borderId="0" xfId="11" applyNumberFormat="1" applyFont="1" applyFill="1"/>
    <xf numFmtId="213" fontId="50" fillId="0" borderId="0" xfId="11" applyNumberFormat="1" applyFont="1"/>
    <xf numFmtId="227" fontId="50" fillId="0" borderId="0" xfId="11" applyNumberFormat="1" applyFont="1" applyFill="1"/>
    <xf numFmtId="227" fontId="47" fillId="0" borderId="0" xfId="11" applyNumberFormat="1" applyFont="1"/>
    <xf numFmtId="229" fontId="47" fillId="0" borderId="0" xfId="0" applyNumberFormat="1" applyFont="1"/>
    <xf numFmtId="219" fontId="47" fillId="0" borderId="0" xfId="0" applyNumberFormat="1" applyFont="1"/>
    <xf numFmtId="213" fontId="47" fillId="0" borderId="0" xfId="11" applyNumberFormat="1" applyFont="1" applyAlignment="1">
      <alignment vertical="center"/>
    </xf>
    <xf numFmtId="193" fontId="50" fillId="0" borderId="0" xfId="0" applyNumberFormat="1" applyFont="1"/>
    <xf numFmtId="221" fontId="47" fillId="0" borderId="0" xfId="0" applyNumberFormat="1" applyFont="1"/>
    <xf numFmtId="198" fontId="47" fillId="0" borderId="0" xfId="0" applyNumberFormat="1" applyFont="1"/>
    <xf numFmtId="231" fontId="47" fillId="0" borderId="0" xfId="0" applyNumberFormat="1" applyFont="1"/>
    <xf numFmtId="0" fontId="47" fillId="0" borderId="6" xfId="0" applyFont="1" applyBorder="1" applyAlignment="1">
      <alignment horizontal="justify" vertical="center" wrapText="1"/>
    </xf>
    <xf numFmtId="232" fontId="72" fillId="0" borderId="1" xfId="0" applyNumberFormat="1" applyFont="1" applyBorder="1" applyAlignment="1">
      <alignment horizontal="center" vertical="center" wrapText="1"/>
    </xf>
    <xf numFmtId="225" fontId="47" fillId="0" borderId="0" xfId="0" applyNumberFormat="1" applyFont="1"/>
    <xf numFmtId="0" fontId="55" fillId="0" borderId="0" xfId="0" applyFont="1" applyAlignment="1">
      <alignment horizontal="center" vertical="center" wrapText="1"/>
    </xf>
    <xf numFmtId="211" fontId="47" fillId="0" borderId="0" xfId="0" applyNumberFormat="1" applyFont="1"/>
    <xf numFmtId="217" fontId="50" fillId="0" borderId="0" xfId="0" applyNumberFormat="1" applyFont="1"/>
    <xf numFmtId="213" fontId="47" fillId="0" borderId="0" xfId="0" applyNumberFormat="1" applyFont="1"/>
    <xf numFmtId="177" fontId="47" fillId="0" borderId="0" xfId="10" applyNumberFormat="1" applyFont="1" applyAlignment="1">
      <alignment horizontal="center" vertical="center"/>
    </xf>
    <xf numFmtId="167" fontId="50" fillId="0" borderId="1" xfId="0" applyNumberFormat="1" applyFont="1" applyBorder="1" applyAlignment="1">
      <alignment horizontal="center" vertical="center" wrapText="1"/>
    </xf>
    <xf numFmtId="167" fontId="50" fillId="0" borderId="1" xfId="10" applyNumberFormat="1" applyFont="1" applyFill="1" applyBorder="1" applyAlignment="1">
      <alignment horizontal="center" vertical="center" wrapText="1"/>
    </xf>
    <xf numFmtId="0" fontId="47" fillId="0" borderId="0" xfId="0" applyFont="1" applyAlignment="1">
      <alignment wrapText="1"/>
    </xf>
    <xf numFmtId="0" fontId="50" fillId="0" borderId="0" xfId="0" applyFont="1" applyAlignment="1">
      <alignment horizontal="center" vertical="center"/>
    </xf>
    <xf numFmtId="208" fontId="47" fillId="0" borderId="0" xfId="11" applyNumberFormat="1" applyFont="1"/>
    <xf numFmtId="212" fontId="50" fillId="0" borderId="0" xfId="11" applyNumberFormat="1" applyFont="1"/>
    <xf numFmtId="212" fontId="47" fillId="0" borderId="0" xfId="11" applyNumberFormat="1" applyFont="1"/>
    <xf numFmtId="2" fontId="47" fillId="0" borderId="7" xfId="0" applyNumberFormat="1" applyFont="1" applyBorder="1" applyAlignment="1">
      <alignment horizontal="justify" vertical="center" wrapText="1"/>
    </xf>
    <xf numFmtId="0" fontId="47" fillId="3" borderId="7" xfId="0" applyFont="1" applyFill="1" applyBorder="1" applyAlignment="1">
      <alignment horizontal="left" vertical="center" wrapText="1"/>
    </xf>
    <xf numFmtId="0" fontId="47" fillId="0" borderId="7" xfId="0" applyFont="1" applyBorder="1"/>
    <xf numFmtId="177" fontId="38" fillId="0" borderId="1" xfId="10" applyNumberFormat="1" applyFont="1" applyFill="1" applyBorder="1" applyAlignment="1">
      <alignment horizontal="center" vertical="center" wrapText="1"/>
    </xf>
    <xf numFmtId="184" fontId="47" fillId="0" borderId="0" xfId="0" applyNumberFormat="1" applyFont="1"/>
    <xf numFmtId="176" fontId="38" fillId="0" borderId="0" xfId="11" applyNumberFormat="1" applyFont="1"/>
    <xf numFmtId="205" fontId="38" fillId="0" borderId="0" xfId="0" applyNumberFormat="1" applyFont="1"/>
    <xf numFmtId="205" fontId="37" fillId="0" borderId="0" xfId="0" applyNumberFormat="1" applyFont="1"/>
    <xf numFmtId="166" fontId="41" fillId="0" borderId="0" xfId="11" applyFont="1"/>
    <xf numFmtId="164" fontId="46" fillId="0" borderId="0" xfId="0" applyNumberFormat="1" applyFont="1"/>
    <xf numFmtId="0" fontId="77" fillId="0" borderId="15" xfId="0" applyFont="1" applyBorder="1" applyAlignment="1">
      <alignment horizontal="center" vertical="center" wrapText="1"/>
    </xf>
    <xf numFmtId="0" fontId="77" fillId="0" borderId="15" xfId="0" applyFont="1" applyBorder="1" applyAlignment="1">
      <alignment horizontal="justify" vertical="center" wrapText="1"/>
    </xf>
    <xf numFmtId="0" fontId="77" fillId="0" borderId="9" xfId="0" applyFont="1" applyBorder="1" applyAlignment="1">
      <alignment horizontal="justify" vertical="center" wrapText="1"/>
    </xf>
    <xf numFmtId="236" fontId="47" fillId="0" borderId="0" xfId="0" applyNumberFormat="1" applyFont="1"/>
    <xf numFmtId="205" fontId="50" fillId="0" borderId="0" xfId="0" applyNumberFormat="1" applyFont="1"/>
    <xf numFmtId="0" fontId="52" fillId="0" borderId="1" xfId="0" applyFont="1" applyBorder="1" applyAlignment="1">
      <alignment horizontal="center" vertical="center" wrapText="1"/>
    </xf>
    <xf numFmtId="0" fontId="37" fillId="3" borderId="1" xfId="0" applyFont="1" applyFill="1" applyBorder="1" applyAlignment="1">
      <alignment horizontal="center" vertical="center" wrapText="1"/>
    </xf>
    <xf numFmtId="0" fontId="84" fillId="0" borderId="1" xfId="0" applyFont="1" applyBorder="1" applyAlignment="1">
      <alignment horizontal="center" vertical="center" wrapText="1"/>
    </xf>
    <xf numFmtId="0" fontId="91" fillId="0" borderId="1" xfId="0" applyFont="1" applyBorder="1" applyAlignment="1">
      <alignment horizontal="center" vertical="center" wrapText="1"/>
    </xf>
    <xf numFmtId="0" fontId="10" fillId="0" borderId="0" xfId="0" applyFont="1" applyAlignment="1">
      <alignment horizontal="center" vertical="center"/>
    </xf>
    <xf numFmtId="205" fontId="47" fillId="0" borderId="0" xfId="0" applyNumberFormat="1" applyFont="1"/>
    <xf numFmtId="167" fontId="10" fillId="0" borderId="2" xfId="0" applyNumberFormat="1" applyFont="1" applyBorder="1" applyAlignment="1">
      <alignment horizontal="right" vertical="center" wrapText="1"/>
    </xf>
    <xf numFmtId="167" fontId="17" fillId="0" borderId="3" xfId="0" applyNumberFormat="1" applyFont="1" applyBorder="1" applyAlignment="1">
      <alignment horizontal="right" vertical="center" wrapText="1"/>
    </xf>
    <xf numFmtId="218" fontId="47" fillId="0" borderId="0" xfId="0" applyNumberFormat="1" applyFont="1"/>
    <xf numFmtId="185" fontId="17" fillId="0" borderId="9" xfId="0" applyNumberFormat="1" applyFont="1" applyBorder="1" applyAlignment="1">
      <alignment horizontal="right" vertical="center" wrapText="1"/>
    </xf>
    <xf numFmtId="167" fontId="47" fillId="0" borderId="1" xfId="0" applyNumberFormat="1" applyFont="1" applyBorder="1"/>
    <xf numFmtId="165" fontId="38" fillId="0" borderId="0" xfId="0" applyNumberFormat="1" applyFont="1"/>
    <xf numFmtId="209" fontId="37" fillId="0" borderId="0" xfId="0" applyNumberFormat="1" applyFont="1"/>
    <xf numFmtId="209" fontId="38" fillId="0" borderId="0" xfId="0" applyNumberFormat="1" applyFont="1"/>
    <xf numFmtId="0" fontId="37" fillId="29" borderId="0" xfId="0" applyFont="1" applyFill="1"/>
    <xf numFmtId="0" fontId="38" fillId="0" borderId="9" xfId="0" applyFont="1" applyBorder="1" applyAlignment="1">
      <alignment vertical="center" wrapText="1"/>
    </xf>
    <xf numFmtId="0" fontId="38" fillId="0" borderId="8" xfId="0" applyFont="1" applyBorder="1" applyAlignment="1">
      <alignment vertical="center" wrapText="1"/>
    </xf>
    <xf numFmtId="171" fontId="38" fillId="0" borderId="8" xfId="0" applyNumberFormat="1" applyFont="1" applyBorder="1" applyAlignment="1">
      <alignment vertical="center" wrapText="1"/>
    </xf>
    <xf numFmtId="176" fontId="70" fillId="0" borderId="0" xfId="11" applyNumberFormat="1" applyFont="1" applyFill="1"/>
    <xf numFmtId="166" fontId="83" fillId="0" borderId="0" xfId="11" applyFont="1" applyFill="1"/>
    <xf numFmtId="174" fontId="83" fillId="0" borderId="0" xfId="0" applyNumberFormat="1" applyFont="1"/>
    <xf numFmtId="205" fontId="83" fillId="0" borderId="0" xfId="0" applyNumberFormat="1" applyFont="1"/>
    <xf numFmtId="176" fontId="83" fillId="0" borderId="0" xfId="0" applyNumberFormat="1" applyFont="1"/>
    <xf numFmtId="41" fontId="83" fillId="0" borderId="0" xfId="0" applyNumberFormat="1" applyFont="1"/>
    <xf numFmtId="215" fontId="83" fillId="0" borderId="0" xfId="0" applyNumberFormat="1" applyFont="1"/>
    <xf numFmtId="211" fontId="83" fillId="0" borderId="0" xfId="0" applyNumberFormat="1" applyFont="1"/>
    <xf numFmtId="214" fontId="83" fillId="0" borderId="0" xfId="0" applyNumberFormat="1" applyFont="1"/>
    <xf numFmtId="167" fontId="72" fillId="0" borderId="0" xfId="0" applyNumberFormat="1" applyFont="1"/>
    <xf numFmtId="0" fontId="38" fillId="0" borderId="1" xfId="0" applyFont="1" applyBorder="1" applyAlignment="1">
      <alignment horizontal="center"/>
    </xf>
    <xf numFmtId="183" fontId="37" fillId="0" borderId="0" xfId="0" applyNumberFormat="1" applyFont="1"/>
    <xf numFmtId="186" fontId="37" fillId="0" borderId="0" xfId="11" applyNumberFormat="1" applyFont="1" applyFill="1"/>
    <xf numFmtId="166" fontId="38" fillId="0" borderId="0" xfId="11" applyFont="1" applyFill="1" applyBorder="1"/>
    <xf numFmtId="0" fontId="39" fillId="0" borderId="0" xfId="0" applyFont="1" applyAlignment="1">
      <alignment horizontal="left" vertical="center"/>
    </xf>
    <xf numFmtId="0" fontId="47" fillId="0" borderId="8" xfId="0" applyFont="1" applyBorder="1"/>
    <xf numFmtId="0" fontId="47" fillId="0" borderId="7" xfId="0" applyFont="1" applyBorder="1" applyAlignment="1">
      <alignment vertical="center"/>
    </xf>
    <xf numFmtId="167" fontId="50" fillId="3" borderId="1" xfId="0" applyNumberFormat="1" applyFont="1" applyFill="1" applyBorder="1" applyAlignment="1">
      <alignment horizontal="right" vertical="center" wrapText="1"/>
    </xf>
    <xf numFmtId="218" fontId="50" fillId="0" borderId="0" xfId="0" applyNumberFormat="1" applyFont="1"/>
    <xf numFmtId="219" fontId="50" fillId="0" borderId="0" xfId="0" applyNumberFormat="1" applyFont="1"/>
    <xf numFmtId="167" fontId="38" fillId="0" borderId="3" xfId="0" applyNumberFormat="1" applyFont="1" applyBorder="1" applyAlignment="1">
      <alignment horizontal="right" vertical="center" wrapText="1"/>
    </xf>
    <xf numFmtId="0" fontId="47" fillId="0" borderId="1" xfId="0" applyFont="1" applyBorder="1" applyAlignment="1">
      <alignment horizontal="justify" vertical="center" wrapText="1"/>
    </xf>
    <xf numFmtId="0" fontId="47" fillId="0" borderId="8" xfId="0" applyFont="1" applyBorder="1" applyAlignment="1">
      <alignment vertical="center"/>
    </xf>
    <xf numFmtId="166" fontId="17" fillId="0" borderId="0" xfId="11" applyFont="1"/>
    <xf numFmtId="9" fontId="17" fillId="0" borderId="0" xfId="65" applyFont="1"/>
    <xf numFmtId="176" fontId="17" fillId="0" borderId="0" xfId="11" applyNumberFormat="1" applyFont="1"/>
    <xf numFmtId="164" fontId="17" fillId="0" borderId="0" xfId="0" applyNumberFormat="1" applyFont="1"/>
    <xf numFmtId="208" fontId="17" fillId="0" borderId="0" xfId="11" applyNumberFormat="1" applyFont="1"/>
    <xf numFmtId="3" fontId="17" fillId="0" borderId="0" xfId="0" applyNumberFormat="1" applyFont="1"/>
    <xf numFmtId="0" fontId="10" fillId="0" borderId="0" xfId="0" applyFont="1"/>
    <xf numFmtId="167" fontId="17" fillId="0" borderId="0" xfId="0" applyNumberFormat="1" applyFont="1"/>
    <xf numFmtId="167" fontId="50" fillId="0" borderId="1" xfId="11" applyNumberFormat="1" applyFont="1" applyBorder="1" applyAlignment="1">
      <alignment horizontal="right" vertical="center" wrapText="1"/>
    </xf>
    <xf numFmtId="177" fontId="38" fillId="0" borderId="0" xfId="10" applyNumberFormat="1" applyFont="1" applyFill="1"/>
    <xf numFmtId="173" fontId="38" fillId="0" borderId="0" xfId="0" applyNumberFormat="1" applyFont="1" applyAlignment="1">
      <alignment vertical="center"/>
    </xf>
    <xf numFmtId="176" fontId="38" fillId="0" borderId="0" xfId="11" applyNumberFormat="1" applyFont="1" applyFill="1" applyAlignment="1">
      <alignment vertical="center"/>
    </xf>
    <xf numFmtId="43" fontId="38" fillId="0" borderId="0" xfId="0" applyNumberFormat="1" applyFont="1"/>
    <xf numFmtId="165" fontId="38" fillId="0" borderId="0" xfId="10" applyFont="1" applyFill="1"/>
    <xf numFmtId="176" fontId="38" fillId="0" borderId="0" xfId="0" applyNumberFormat="1" applyFont="1"/>
    <xf numFmtId="194" fontId="38" fillId="0" borderId="0" xfId="10" applyNumberFormat="1" applyFont="1" applyFill="1"/>
    <xf numFmtId="9" fontId="47" fillId="0" borderId="0" xfId="65" applyFont="1" applyFill="1" applyAlignment="1">
      <alignment horizontal="center"/>
    </xf>
    <xf numFmtId="0" fontId="55" fillId="0" borderId="13" xfId="0" applyFont="1" applyBorder="1" applyAlignment="1">
      <alignment horizontal="right" vertical="center"/>
    </xf>
    <xf numFmtId="174" fontId="50" fillId="0" borderId="1" xfId="10" applyNumberFormat="1" applyFont="1" applyFill="1" applyBorder="1" applyAlignment="1">
      <alignment horizontal="center" vertical="center" wrapText="1"/>
    </xf>
    <xf numFmtId="165" fontId="50" fillId="0" borderId="1" xfId="0" applyNumberFormat="1" applyFont="1" applyBorder="1" applyAlignment="1">
      <alignment horizontal="center" vertical="center" wrapText="1"/>
    </xf>
    <xf numFmtId="9" fontId="50" fillId="0" borderId="1" xfId="65" applyFont="1" applyFill="1" applyBorder="1" applyAlignment="1">
      <alignment horizontal="center" vertical="center" wrapText="1"/>
    </xf>
    <xf numFmtId="174" fontId="50" fillId="0" borderId="1" xfId="10" applyNumberFormat="1" applyFont="1" applyFill="1" applyBorder="1" applyAlignment="1">
      <alignment horizontal="right" vertical="center" wrapText="1"/>
    </xf>
    <xf numFmtId="0" fontId="50" fillId="3" borderId="1" xfId="0" applyFont="1" applyFill="1" applyBorder="1" applyAlignment="1">
      <alignment horizontal="left" vertical="center" wrapText="1"/>
    </xf>
    <xf numFmtId="0" fontId="50" fillId="0" borderId="1" xfId="0" applyFont="1" applyBorder="1" applyAlignment="1">
      <alignment horizontal="center" vertical="center"/>
    </xf>
    <xf numFmtId="0" fontId="50" fillId="0" borderId="1" xfId="0" applyFont="1" applyBorder="1" applyAlignment="1">
      <alignment vertical="center"/>
    </xf>
    <xf numFmtId="9" fontId="50" fillId="0" borderId="1" xfId="65" applyFont="1" applyFill="1" applyBorder="1" applyAlignment="1">
      <alignment horizontal="center" vertical="center"/>
    </xf>
    <xf numFmtId="171" fontId="50" fillId="0" borderId="1" xfId="11" applyNumberFormat="1" applyFont="1" applyFill="1" applyBorder="1" applyAlignment="1">
      <alignment horizontal="center" vertical="center"/>
    </xf>
    <xf numFmtId="167" fontId="47" fillId="0" borderId="1" xfId="0" applyNumberFormat="1" applyFont="1" applyBorder="1" applyAlignment="1">
      <alignment vertical="center"/>
    </xf>
    <xf numFmtId="9" fontId="47" fillId="0" borderId="1" xfId="65" applyFont="1" applyFill="1" applyBorder="1" applyAlignment="1">
      <alignment horizontal="center" vertical="center"/>
    </xf>
    <xf numFmtId="0" fontId="47" fillId="3" borderId="1" xfId="0" applyFont="1" applyFill="1" applyBorder="1" applyAlignment="1">
      <alignment horizontal="center" vertical="center" wrapText="1"/>
    </xf>
    <xf numFmtId="174" fontId="47" fillId="0" borderId="1" xfId="10" applyNumberFormat="1" applyFont="1" applyFill="1" applyBorder="1"/>
    <xf numFmtId="184" fontId="47" fillId="0" borderId="1" xfId="11" applyNumberFormat="1" applyFont="1" applyFill="1" applyBorder="1" applyAlignment="1">
      <alignment horizontal="right"/>
    </xf>
    <xf numFmtId="9" fontId="47" fillId="0" borderId="1" xfId="65" applyFont="1" applyFill="1" applyBorder="1" applyAlignment="1">
      <alignment horizontal="center"/>
    </xf>
    <xf numFmtId="184" fontId="50" fillId="0" borderId="1" xfId="11" applyNumberFormat="1" applyFont="1" applyFill="1" applyBorder="1" applyAlignment="1">
      <alignment horizontal="right"/>
    </xf>
    <xf numFmtId="0" fontId="47" fillId="25" borderId="1" xfId="64" quotePrefix="1" applyFont="1" applyFill="1" applyBorder="1" applyAlignment="1">
      <alignment horizontal="left" vertical="center" wrapText="1"/>
    </xf>
    <xf numFmtId="165" fontId="50" fillId="0" borderId="1" xfId="10" applyFont="1" applyFill="1" applyBorder="1" applyAlignment="1">
      <alignment horizontal="right" vertical="center" wrapText="1"/>
    </xf>
    <xf numFmtId="165" fontId="37" fillId="0" borderId="0" xfId="10" applyFont="1"/>
    <xf numFmtId="165" fontId="38" fillId="0" borderId="0" xfId="10" applyFont="1"/>
    <xf numFmtId="182" fontId="38" fillId="0" borderId="0" xfId="10" applyNumberFormat="1" applyFont="1"/>
    <xf numFmtId="167" fontId="36" fillId="0" borderId="1" xfId="0" applyNumberFormat="1" applyFont="1" applyBorder="1" applyAlignment="1">
      <alignment horizontal="right" vertical="center" wrapText="1"/>
    </xf>
    <xf numFmtId="0" fontId="15" fillId="0" borderId="0" xfId="0" applyFont="1" applyAlignment="1">
      <alignment vertical="center"/>
    </xf>
    <xf numFmtId="4" fontId="17" fillId="0" borderId="7" xfId="0" applyNumberFormat="1" applyFont="1" applyBorder="1" applyAlignment="1">
      <alignment horizontal="right" vertical="center" wrapText="1"/>
    </xf>
    <xf numFmtId="4" fontId="10" fillId="0" borderId="15" xfId="0" applyNumberFormat="1" applyFont="1" applyBorder="1" applyAlignment="1">
      <alignment horizontal="right" vertical="center" wrapText="1"/>
    </xf>
    <xf numFmtId="174" fontId="47" fillId="0" borderId="7" xfId="10" applyNumberFormat="1" applyFont="1" applyFill="1" applyBorder="1" applyAlignment="1">
      <alignment horizontal="right" vertical="center" wrapText="1"/>
    </xf>
    <xf numFmtId="0" fontId="10" fillId="0" borderId="6" xfId="0" applyFont="1" applyBorder="1" applyAlignment="1">
      <alignment horizontal="center" vertical="center" wrapText="1"/>
    </xf>
    <xf numFmtId="0" fontId="10" fillId="0" borderId="6" xfId="0" applyFont="1" applyBorder="1" applyAlignment="1">
      <alignment vertical="center" wrapText="1"/>
    </xf>
    <xf numFmtId="174" fontId="10" fillId="0" borderId="7" xfId="10" applyNumberFormat="1" applyFont="1" applyBorder="1" applyAlignment="1">
      <alignment horizontal="right" vertical="center" wrapText="1"/>
    </xf>
    <xf numFmtId="221" fontId="38" fillId="0" borderId="0" xfId="0" applyNumberFormat="1" applyFont="1"/>
    <xf numFmtId="238" fontId="38" fillId="0" borderId="0" xfId="0" applyNumberFormat="1" applyFont="1"/>
    <xf numFmtId="184" fontId="50" fillId="0" borderId="1" xfId="11" applyNumberFormat="1" applyFont="1" applyFill="1" applyBorder="1" applyAlignment="1">
      <alignment horizontal="center" vertical="center"/>
    </xf>
    <xf numFmtId="239" fontId="38" fillId="0" borderId="0" xfId="11" applyNumberFormat="1" applyFont="1" applyFill="1"/>
    <xf numFmtId="185" fontId="47" fillId="3" borderId="0" xfId="0" applyNumberFormat="1" applyFont="1" applyFill="1"/>
    <xf numFmtId="3" fontId="38" fillId="0" borderId="0" xfId="0" applyNumberFormat="1" applyFont="1"/>
    <xf numFmtId="208" fontId="37" fillId="0" borderId="0" xfId="11" applyNumberFormat="1" applyFont="1" applyAlignment="1"/>
    <xf numFmtId="192" fontId="37" fillId="0" borderId="0" xfId="0" applyNumberFormat="1" applyFont="1"/>
    <xf numFmtId="167" fontId="38" fillId="0" borderId="0" xfId="0" applyNumberFormat="1" applyFont="1" applyAlignment="1">
      <alignment vertical="center"/>
    </xf>
    <xf numFmtId="182" fontId="38" fillId="0" borderId="0" xfId="10" applyNumberFormat="1" applyFont="1" applyFill="1" applyAlignment="1">
      <alignment vertical="center"/>
    </xf>
    <xf numFmtId="185" fontId="50" fillId="0" borderId="0" xfId="0" applyNumberFormat="1" applyFont="1"/>
    <xf numFmtId="167" fontId="17" fillId="0" borderId="7" xfId="10" applyNumberFormat="1" applyFont="1" applyFill="1" applyBorder="1" applyAlignment="1">
      <alignment horizontal="right" vertical="center" wrapText="1"/>
    </xf>
    <xf numFmtId="167" fontId="55" fillId="0" borderId="0" xfId="0" applyNumberFormat="1" applyFont="1"/>
    <xf numFmtId="4" fontId="47" fillId="3" borderId="0" xfId="0" applyNumberFormat="1" applyFont="1" applyFill="1"/>
    <xf numFmtId="0" fontId="48" fillId="0" borderId="1" xfId="0" applyFont="1" applyBorder="1" applyAlignment="1">
      <alignment horizontal="center" vertical="center" wrapText="1"/>
    </xf>
    <xf numFmtId="193" fontId="47" fillId="0" borderId="0" xfId="0" applyNumberFormat="1" applyFont="1"/>
    <xf numFmtId="213" fontId="48" fillId="0" borderId="0" xfId="11" applyNumberFormat="1" applyFont="1" applyFill="1"/>
    <xf numFmtId="223" fontId="47" fillId="0" borderId="0" xfId="0" applyNumberFormat="1" applyFont="1"/>
    <xf numFmtId="227" fontId="47" fillId="0" borderId="0" xfId="11" applyNumberFormat="1" applyFont="1" applyFill="1"/>
    <xf numFmtId="228" fontId="47" fillId="0" borderId="0" xfId="0" applyNumberFormat="1" applyFont="1"/>
    <xf numFmtId="224" fontId="47" fillId="0" borderId="0" xfId="0" applyNumberFormat="1" applyFont="1"/>
    <xf numFmtId="198" fontId="38" fillId="0" borderId="0" xfId="0" applyNumberFormat="1" applyFont="1"/>
    <xf numFmtId="0" fontId="11" fillId="0" borderId="0" xfId="0" applyFont="1" applyAlignment="1">
      <alignment horizontal="center"/>
    </xf>
    <xf numFmtId="183" fontId="10" fillId="3" borderId="1" xfId="0" applyNumberFormat="1" applyFont="1" applyFill="1" applyBorder="1" applyAlignment="1">
      <alignment horizontal="right" vertical="center" wrapText="1"/>
    </xf>
    <xf numFmtId="183" fontId="17" fillId="3" borderId="9" xfId="10" applyNumberFormat="1" applyFont="1" applyFill="1" applyBorder="1" applyAlignment="1">
      <alignment horizontal="right" vertical="center" wrapText="1"/>
    </xf>
    <xf numFmtId="183" fontId="17" fillId="27" borderId="9" xfId="10" applyNumberFormat="1" applyFont="1" applyFill="1" applyBorder="1" applyAlignment="1">
      <alignment horizontal="right" vertical="center" wrapText="1"/>
    </xf>
    <xf numFmtId="183" fontId="10" fillId="3" borderId="2" xfId="0" applyNumberFormat="1" applyFont="1" applyFill="1" applyBorder="1" applyAlignment="1">
      <alignment horizontal="right" vertical="center" wrapText="1"/>
    </xf>
    <xf numFmtId="186" fontId="83" fillId="0" borderId="0" xfId="11" applyNumberFormat="1" applyFont="1" applyFill="1"/>
    <xf numFmtId="186" fontId="90" fillId="0" borderId="0" xfId="11" applyNumberFormat="1" applyFont="1" applyFill="1"/>
    <xf numFmtId="186" fontId="92" fillId="0" borderId="0" xfId="11" applyNumberFormat="1" applyFont="1" applyFill="1"/>
    <xf numFmtId="167" fontId="47" fillId="0" borderId="0" xfId="0" applyNumberFormat="1" applyFont="1" applyAlignment="1">
      <alignment vertical="center"/>
    </xf>
    <xf numFmtId="0" fontId="8" fillId="0" borderId="0" xfId="0" applyFont="1" applyAlignment="1">
      <alignment vertical="center"/>
    </xf>
    <xf numFmtId="185" fontId="47" fillId="0" borderId="0" xfId="0" applyNumberFormat="1" applyFont="1"/>
    <xf numFmtId="194" fontId="38" fillId="0" borderId="0" xfId="0" applyNumberFormat="1" applyFont="1"/>
    <xf numFmtId="0" fontId="17" fillId="0" borderId="1" xfId="0" applyFont="1" applyBorder="1" applyAlignment="1">
      <alignment horizontal="left" vertical="center" wrapText="1"/>
    </xf>
    <xf numFmtId="3" fontId="38" fillId="0" borderId="1" xfId="0" applyNumberFormat="1" applyFont="1" applyBorder="1" applyAlignment="1">
      <alignment horizontal="center" vertical="center" wrapText="1"/>
    </xf>
    <xf numFmtId="213" fontId="47" fillId="3" borderId="0" xfId="0" applyNumberFormat="1" applyFont="1" applyFill="1"/>
    <xf numFmtId="213" fontId="47" fillId="3" borderId="0" xfId="11" applyNumberFormat="1" applyFont="1" applyFill="1"/>
    <xf numFmtId="3" fontId="47" fillId="3" borderId="0" xfId="0" applyNumberFormat="1" applyFont="1" applyFill="1"/>
    <xf numFmtId="237" fontId="38" fillId="0" borderId="0" xfId="0" applyNumberFormat="1" applyFont="1"/>
    <xf numFmtId="0" fontId="47" fillId="0" borderId="3" xfId="0" applyFont="1" applyBorder="1" applyAlignment="1">
      <alignment horizontal="center" vertical="center" wrapText="1"/>
    </xf>
    <xf numFmtId="0" fontId="72" fillId="0" borderId="8" xfId="0" applyFont="1" applyBorder="1" applyAlignment="1">
      <alignment horizontal="left" vertical="center" wrapText="1"/>
    </xf>
    <xf numFmtId="0" fontId="47" fillId="0" borderId="6" xfId="0" applyFont="1" applyBorder="1" applyAlignment="1">
      <alignment horizontal="center" vertical="center" wrapText="1"/>
    </xf>
    <xf numFmtId="167" fontId="50" fillId="0" borderId="6" xfId="0" applyNumberFormat="1" applyFont="1" applyBorder="1" applyAlignment="1">
      <alignment horizontal="right" vertical="center" wrapText="1"/>
    </xf>
    <xf numFmtId="0" fontId="50" fillId="0" borderId="1" xfId="10" applyNumberFormat="1" applyFont="1" applyFill="1" applyBorder="1" applyAlignment="1">
      <alignment horizontal="center" vertical="center" wrapText="1"/>
    </xf>
    <xf numFmtId="166" fontId="50" fillId="0" borderId="1" xfId="11" applyFont="1" applyFill="1" applyBorder="1" applyAlignment="1">
      <alignment horizontal="center" vertical="center"/>
    </xf>
    <xf numFmtId="171" fontId="47" fillId="0" borderId="1" xfId="0" applyNumberFormat="1" applyFont="1" applyBorder="1" applyAlignment="1">
      <alignment horizontal="center"/>
    </xf>
    <xf numFmtId="171" fontId="50" fillId="0" borderId="1" xfId="0" applyNumberFormat="1" applyFont="1" applyBorder="1" applyAlignment="1">
      <alignment horizontal="center"/>
    </xf>
    <xf numFmtId="0" fontId="47" fillId="3" borderId="6" xfId="0" applyFont="1" applyFill="1" applyBorder="1" applyAlignment="1">
      <alignment horizontal="center" vertical="center" wrapText="1"/>
    </xf>
    <xf numFmtId="0" fontId="47" fillId="0" borderId="6" xfId="0" applyFont="1" applyBorder="1" applyAlignment="1">
      <alignment vertical="center"/>
    </xf>
    <xf numFmtId="167" fontId="47" fillId="0" borderId="6" xfId="0" applyNumberFormat="1" applyFont="1" applyBorder="1" applyAlignment="1">
      <alignment vertical="center"/>
    </xf>
    <xf numFmtId="184" fontId="47" fillId="0" borderId="6" xfId="11" applyNumberFormat="1" applyFont="1" applyFill="1" applyBorder="1" applyAlignment="1">
      <alignment horizontal="right" vertical="center"/>
    </xf>
    <xf numFmtId="171" fontId="47" fillId="0" borderId="6" xfId="11" applyNumberFormat="1" applyFont="1" applyFill="1" applyBorder="1" applyAlignment="1">
      <alignment horizontal="center" vertical="center"/>
    </xf>
    <xf numFmtId="9" fontId="47" fillId="0" borderId="6" xfId="65" applyFont="1" applyFill="1" applyBorder="1" applyAlignment="1">
      <alignment horizontal="center" vertical="center"/>
    </xf>
    <xf numFmtId="167" fontId="47" fillId="0" borderId="7" xfId="0" applyNumberFormat="1" applyFont="1" applyBorder="1" applyAlignment="1">
      <alignment vertical="center"/>
    </xf>
    <xf numFmtId="184" fontId="47" fillId="0" borderId="7" xfId="11" applyNumberFormat="1" applyFont="1" applyFill="1" applyBorder="1" applyAlignment="1">
      <alignment horizontal="right" vertical="center"/>
    </xf>
    <xf numFmtId="171" fontId="47" fillId="0" borderId="7" xfId="11" applyNumberFormat="1" applyFont="1" applyFill="1" applyBorder="1" applyAlignment="1">
      <alignment horizontal="center" vertical="center"/>
    </xf>
    <xf numFmtId="9" fontId="47" fillId="0" borderId="7" xfId="65" applyFont="1" applyFill="1" applyBorder="1" applyAlignment="1">
      <alignment horizontal="center" vertical="center"/>
    </xf>
    <xf numFmtId="0" fontId="47" fillId="3" borderId="8" xfId="0" applyFont="1" applyFill="1" applyBorder="1" applyAlignment="1">
      <alignment horizontal="center" vertical="center" wrapText="1"/>
    </xf>
    <xf numFmtId="167" fontId="47" fillId="0" borderId="8" xfId="0" applyNumberFormat="1" applyFont="1" applyBorder="1" applyAlignment="1">
      <alignment vertical="center"/>
    </xf>
    <xf numFmtId="184" fontId="47" fillId="0" borderId="8" xfId="11" applyNumberFormat="1" applyFont="1" applyFill="1" applyBorder="1" applyAlignment="1">
      <alignment horizontal="right" vertical="center"/>
    </xf>
    <xf numFmtId="171" fontId="47" fillId="0" borderId="8" xfId="11" applyNumberFormat="1" applyFont="1" applyFill="1" applyBorder="1" applyAlignment="1">
      <alignment horizontal="center" vertical="center"/>
    </xf>
    <xf numFmtId="9" fontId="47" fillId="0" borderId="8" xfId="65" applyFont="1" applyFill="1" applyBorder="1" applyAlignment="1">
      <alignment horizontal="center" vertical="center"/>
    </xf>
    <xf numFmtId="0" fontId="47" fillId="0" borderId="6" xfId="0" applyFont="1" applyBorder="1"/>
    <xf numFmtId="174" fontId="47" fillId="0" borderId="6" xfId="10" applyNumberFormat="1" applyFont="1" applyFill="1" applyBorder="1"/>
    <xf numFmtId="167" fontId="47" fillId="0" borderId="6" xfId="0" applyNumberFormat="1" applyFont="1" applyBorder="1"/>
    <xf numFmtId="184" fontId="47" fillId="0" borderId="6" xfId="11" applyNumberFormat="1" applyFont="1" applyFill="1" applyBorder="1" applyAlignment="1">
      <alignment horizontal="right"/>
    </xf>
    <xf numFmtId="171" fontId="47" fillId="0" borderId="6" xfId="11" applyNumberFormat="1" applyFont="1" applyFill="1" applyBorder="1" applyAlignment="1">
      <alignment horizontal="right" vertical="center"/>
    </xf>
    <xf numFmtId="9" fontId="47" fillId="0" borderId="6" xfId="65" applyFont="1" applyFill="1" applyBorder="1" applyAlignment="1">
      <alignment horizontal="center"/>
    </xf>
    <xf numFmtId="174" fontId="47" fillId="0" borderId="7" xfId="10" applyNumberFormat="1" applyFont="1" applyFill="1" applyBorder="1"/>
    <xf numFmtId="167" fontId="47" fillId="0" borderId="7" xfId="0" applyNumberFormat="1" applyFont="1" applyBorder="1"/>
    <xf numFmtId="184" fontId="47" fillId="0" borderId="7" xfId="11" applyNumberFormat="1" applyFont="1" applyFill="1" applyBorder="1" applyAlignment="1">
      <alignment horizontal="right"/>
    </xf>
    <xf numFmtId="171" fontId="47" fillId="0" borderId="7" xfId="0" applyNumberFormat="1" applyFont="1" applyBorder="1" applyAlignment="1">
      <alignment horizontal="right"/>
    </xf>
    <xf numFmtId="9" fontId="47" fillId="0" borderId="7" xfId="65" applyFont="1" applyFill="1" applyBorder="1" applyAlignment="1">
      <alignment horizontal="center"/>
    </xf>
    <xf numFmtId="171" fontId="47" fillId="0" borderId="7" xfId="0" applyNumberFormat="1" applyFont="1" applyBorder="1" applyAlignment="1">
      <alignment horizontal="center"/>
    </xf>
    <xf numFmtId="174" fontId="47" fillId="0" borderId="8" xfId="10" applyNumberFormat="1" applyFont="1" applyFill="1" applyBorder="1"/>
    <xf numFmtId="167" fontId="47" fillId="0" borderId="8" xfId="0" applyNumberFormat="1" applyFont="1" applyBorder="1"/>
    <xf numFmtId="184" fontId="47" fillId="0" borderId="8" xfId="11" applyNumberFormat="1" applyFont="1" applyFill="1" applyBorder="1" applyAlignment="1">
      <alignment horizontal="right"/>
    </xf>
    <xf numFmtId="171" fontId="47" fillId="0" borderId="8" xfId="0" applyNumberFormat="1" applyFont="1" applyBorder="1" applyAlignment="1">
      <alignment horizontal="center"/>
    </xf>
    <xf numFmtId="9" fontId="47" fillId="0" borderId="8" xfId="65" applyFont="1" applyFill="1" applyBorder="1" applyAlignment="1">
      <alignment horizontal="center"/>
    </xf>
    <xf numFmtId="248" fontId="38" fillId="0" borderId="0" xfId="0" applyNumberFormat="1" applyFont="1"/>
    <xf numFmtId="199" fontId="47" fillId="0" borderId="0" xfId="10" applyNumberFormat="1" applyFont="1" applyFill="1"/>
    <xf numFmtId="202" fontId="50" fillId="0" borderId="0" xfId="0" applyNumberFormat="1" applyFont="1" applyAlignment="1">
      <alignment vertical="center"/>
    </xf>
    <xf numFmtId="189" fontId="47" fillId="0" borderId="0" xfId="0" applyNumberFormat="1" applyFont="1"/>
    <xf numFmtId="0" fontId="77" fillId="0" borderId="0" xfId="0" applyFont="1" applyAlignment="1">
      <alignment vertical="center"/>
    </xf>
    <xf numFmtId="0" fontId="38" fillId="0" borderId="0" xfId="0" applyFont="1" applyAlignment="1">
      <alignment horizontal="center" vertical="center"/>
    </xf>
    <xf numFmtId="183" fontId="47" fillId="3" borderId="0" xfId="0" applyNumberFormat="1" applyFont="1" applyFill="1"/>
    <xf numFmtId="186" fontId="47" fillId="0" borderId="0" xfId="11" applyNumberFormat="1" applyFont="1"/>
    <xf numFmtId="1" fontId="37" fillId="29" borderId="0" xfId="0" applyNumberFormat="1" applyFont="1" applyFill="1" applyAlignment="1">
      <alignment horizontal="center"/>
    </xf>
    <xf numFmtId="0" fontId="47" fillId="3" borderId="7" xfId="0" applyFont="1" applyFill="1" applyBorder="1" applyAlignment="1">
      <alignment horizontal="justify" vertical="center" wrapText="1"/>
    </xf>
    <xf numFmtId="167" fontId="77" fillId="0" borderId="9" xfId="0" applyNumberFormat="1" applyFont="1" applyBorder="1" applyAlignment="1">
      <alignment horizontal="right" vertical="center" wrapText="1"/>
    </xf>
    <xf numFmtId="167" fontId="77" fillId="0" borderId="7" xfId="0" applyNumberFormat="1" applyFont="1" applyBorder="1" applyAlignment="1">
      <alignment horizontal="right" vertical="center" wrapText="1"/>
    </xf>
    <xf numFmtId="167" fontId="77" fillId="0" borderId="15" xfId="0" applyNumberFormat="1" applyFont="1" applyBorder="1" applyAlignment="1">
      <alignment horizontal="right" vertical="center" wrapText="1"/>
    </xf>
    <xf numFmtId="4" fontId="50" fillId="0" borderId="1" xfId="0" applyNumberFormat="1" applyFont="1" applyBorder="1" applyAlignment="1">
      <alignment horizontal="right" vertical="center" wrapText="1"/>
    </xf>
    <xf numFmtId="176" fontId="8" fillId="0" borderId="0" xfId="11" applyNumberFormat="1" applyFont="1" applyAlignment="1">
      <alignment vertical="center"/>
    </xf>
    <xf numFmtId="176" fontId="27" fillId="0" borderId="0" xfId="11" applyNumberFormat="1" applyFont="1" applyAlignment="1">
      <alignment vertical="center"/>
    </xf>
    <xf numFmtId="0" fontId="77" fillId="0" borderId="6" xfId="0" applyFont="1" applyBorder="1" applyAlignment="1">
      <alignment horizontal="justify" vertical="center" wrapText="1"/>
    </xf>
    <xf numFmtId="0" fontId="77" fillId="0" borderId="7" xfId="0" applyFont="1" applyBorder="1" applyAlignment="1">
      <alignment horizontal="justify" vertical="center" wrapText="1"/>
    </xf>
    <xf numFmtId="211" fontId="47" fillId="0" borderId="0" xfId="0" applyNumberFormat="1" applyFont="1" applyAlignment="1">
      <alignment vertical="center"/>
    </xf>
    <xf numFmtId="208" fontId="47" fillId="0" borderId="0" xfId="11" applyNumberFormat="1" applyFont="1" applyFill="1"/>
    <xf numFmtId="167" fontId="29" fillId="0" borderId="7" xfId="0" applyNumberFormat="1" applyFont="1" applyBorder="1" applyAlignment="1">
      <alignment horizontal="right" vertical="center" wrapText="1"/>
    </xf>
    <xf numFmtId="176" fontId="0" fillId="0" borderId="0" xfId="11" applyNumberFormat="1" applyFont="1"/>
    <xf numFmtId="0" fontId="0" fillId="0" borderId="1" xfId="0" applyBorder="1"/>
    <xf numFmtId="0" fontId="0" fillId="0" borderId="1" xfId="0" applyBorder="1" applyAlignment="1">
      <alignment wrapText="1"/>
    </xf>
    <xf numFmtId="176" fontId="0" fillId="0" borderId="1" xfId="11" applyNumberFormat="1" applyFont="1" applyBorder="1"/>
    <xf numFmtId="176" fontId="0" fillId="0" borderId="1" xfId="11" applyNumberFormat="1" applyFont="1" applyBorder="1" applyAlignment="1">
      <alignment vertical="center"/>
    </xf>
    <xf numFmtId="176" fontId="27" fillId="0" borderId="1" xfId="11" applyNumberFormat="1" applyFont="1" applyBorder="1" applyAlignment="1">
      <alignment horizontal="center" vertical="center"/>
    </xf>
    <xf numFmtId="0" fontId="27"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176" fontId="0" fillId="0" borderId="0" xfId="0" applyNumberFormat="1"/>
    <xf numFmtId="0" fontId="0" fillId="0" borderId="1" xfId="0" applyBorder="1" applyAlignment="1">
      <alignment vertical="center" wrapText="1"/>
    </xf>
    <xf numFmtId="176" fontId="0" fillId="0" borderId="1" xfId="0" applyNumberFormat="1" applyBorder="1" applyAlignment="1">
      <alignment vertical="center"/>
    </xf>
    <xf numFmtId="0" fontId="0" fillId="0" borderId="3" xfId="0" applyBorder="1" applyAlignment="1">
      <alignment vertical="center" wrapText="1"/>
    </xf>
    <xf numFmtId="176" fontId="0" fillId="0" borderId="0" xfId="11" applyNumberFormat="1" applyFont="1" applyAlignment="1">
      <alignment vertical="center"/>
    </xf>
    <xf numFmtId="176" fontId="0" fillId="0" borderId="0" xfId="11" applyNumberFormat="1" applyFont="1" applyFill="1" applyBorder="1" applyAlignment="1">
      <alignment vertical="center"/>
    </xf>
    <xf numFmtId="176" fontId="0" fillId="0" borderId="0" xfId="0" applyNumberFormat="1" applyAlignment="1">
      <alignment vertical="center" wrapText="1"/>
    </xf>
    <xf numFmtId="0" fontId="0" fillId="0" borderId="0" xfId="0" quotePrefix="1" applyAlignment="1">
      <alignment horizontal="center" vertical="center"/>
    </xf>
    <xf numFmtId="176" fontId="27" fillId="0" borderId="0" xfId="11" applyNumberFormat="1" applyFont="1" applyFill="1" applyBorder="1" applyAlignment="1">
      <alignment horizontal="center" vertical="center"/>
    </xf>
    <xf numFmtId="176" fontId="0" fillId="0" borderId="3" xfId="11" applyNumberFormat="1" applyFont="1" applyBorder="1" applyAlignment="1">
      <alignment vertical="center"/>
    </xf>
    <xf numFmtId="184" fontId="27" fillId="0" borderId="0" xfId="11" applyNumberFormat="1" applyFont="1" applyFill="1" applyBorder="1" applyAlignment="1">
      <alignment horizontal="center" vertical="center"/>
    </xf>
    <xf numFmtId="0" fontId="0" fillId="0" borderId="0" xfId="0" applyAlignment="1">
      <alignment horizontal="right" vertical="center"/>
    </xf>
    <xf numFmtId="167" fontId="47" fillId="0" borderId="4" xfId="0" applyNumberFormat="1" applyFont="1" applyBorder="1" applyAlignment="1">
      <alignment horizontal="right" vertical="center" wrapText="1"/>
    </xf>
    <xf numFmtId="185" fontId="10" fillId="3" borderId="2" xfId="0" applyNumberFormat="1" applyFont="1" applyFill="1" applyBorder="1" applyAlignment="1">
      <alignment horizontal="right" vertical="center" wrapText="1"/>
    </xf>
    <xf numFmtId="185" fontId="10" fillId="3" borderId="1" xfId="0" applyNumberFormat="1" applyFont="1" applyFill="1" applyBorder="1" applyAlignment="1">
      <alignment horizontal="right" vertical="center" wrapText="1"/>
    </xf>
    <xf numFmtId="176" fontId="27" fillId="0" borderId="1" xfId="11" applyNumberFormat="1" applyFont="1" applyFill="1" applyBorder="1" applyAlignment="1">
      <alignment horizontal="center" vertical="center"/>
    </xf>
    <xf numFmtId="196" fontId="0" fillId="0" borderId="0" xfId="0" applyNumberFormat="1"/>
    <xf numFmtId="201" fontId="50" fillId="0" borderId="0" xfId="0" applyNumberFormat="1" applyFont="1"/>
    <xf numFmtId="227" fontId="50" fillId="0" borderId="0" xfId="11" applyNumberFormat="1" applyFont="1"/>
    <xf numFmtId="213" fontId="37" fillId="0" borderId="0" xfId="11" applyNumberFormat="1" applyFont="1"/>
    <xf numFmtId="245" fontId="50" fillId="0" borderId="0" xfId="0" applyNumberFormat="1" applyFont="1"/>
    <xf numFmtId="212" fontId="10" fillId="0" borderId="0" xfId="11" applyNumberFormat="1" applyFont="1" applyAlignment="1">
      <alignment vertical="center" wrapText="1"/>
    </xf>
    <xf numFmtId="212" fontId="87" fillId="0" borderId="0" xfId="11" applyNumberFormat="1" applyFont="1"/>
    <xf numFmtId="212" fontId="50" fillId="0" borderId="0" xfId="11" applyNumberFormat="1" applyFont="1" applyAlignment="1">
      <alignment horizontal="right"/>
    </xf>
    <xf numFmtId="241" fontId="37" fillId="0" borderId="0" xfId="0" applyNumberFormat="1" applyFont="1"/>
    <xf numFmtId="0" fontId="47" fillId="0" borderId="9" xfId="0" applyFont="1" applyBorder="1" applyAlignment="1">
      <alignment vertical="center" wrapText="1"/>
    </xf>
    <xf numFmtId="241" fontId="38" fillId="0" borderId="0" xfId="0" applyNumberFormat="1" applyFont="1"/>
    <xf numFmtId="245" fontId="47" fillId="0" borderId="0" xfId="0" applyNumberFormat="1" applyFont="1"/>
    <xf numFmtId="171" fontId="38" fillId="0" borderId="6" xfId="0" applyNumberFormat="1" applyFont="1" applyBorder="1" applyAlignment="1">
      <alignment vertical="center" wrapText="1"/>
    </xf>
    <xf numFmtId="167" fontId="38" fillId="0" borderId="16" xfId="0" applyNumberFormat="1" applyFont="1" applyBorder="1" applyAlignment="1">
      <alignment horizontal="right" vertical="center" wrapText="1"/>
    </xf>
    <xf numFmtId="219" fontId="47" fillId="3" borderId="0" xfId="0" applyNumberFormat="1" applyFont="1" applyFill="1"/>
    <xf numFmtId="171" fontId="38" fillId="0" borderId="7" xfId="0" applyNumberFormat="1" applyFont="1" applyBorder="1" applyAlignment="1">
      <alignment vertical="center" wrapText="1"/>
    </xf>
    <xf numFmtId="197" fontId="47" fillId="0" borderId="0" xfId="0" applyNumberFormat="1" applyFont="1" applyAlignment="1">
      <alignment vertical="center"/>
    </xf>
    <xf numFmtId="0" fontId="55" fillId="0" borderId="0" xfId="0" applyFont="1" applyAlignment="1">
      <alignment vertical="center"/>
    </xf>
    <xf numFmtId="183" fontId="38" fillId="0" borderId="7" xfId="87" applyNumberFormat="1" applyFont="1" applyBorder="1" applyAlignment="1">
      <alignment horizontal="right" vertical="center" wrapText="1"/>
    </xf>
    <xf numFmtId="4" fontId="38" fillId="0" borderId="9" xfId="0" applyNumberFormat="1" applyFont="1" applyBorder="1" applyAlignment="1">
      <alignment horizontal="right" vertical="center" wrapText="1"/>
    </xf>
    <xf numFmtId="3" fontId="38" fillId="0" borderId="3" xfId="0" applyNumberFormat="1" applyFont="1" applyBorder="1" applyAlignment="1">
      <alignment horizontal="right" vertical="center" wrapText="1"/>
    </xf>
    <xf numFmtId="4" fontId="47" fillId="0" borderId="9" xfId="0" applyNumberFormat="1" applyFont="1" applyBorder="1" applyAlignment="1">
      <alignment horizontal="right" vertical="center" wrapText="1"/>
    </xf>
    <xf numFmtId="0" fontId="37" fillId="0" borderId="0" xfId="0" applyFont="1" applyAlignment="1">
      <alignment horizontal="center"/>
    </xf>
    <xf numFmtId="205" fontId="8" fillId="0" borderId="0" xfId="0" applyNumberFormat="1" applyFont="1"/>
    <xf numFmtId="3" fontId="38" fillId="0" borderId="15" xfId="0" applyNumberFormat="1" applyFont="1" applyBorder="1" applyAlignment="1">
      <alignment horizontal="right" vertical="center" wrapText="1"/>
    </xf>
    <xf numFmtId="167" fontId="38" fillId="0" borderId="7" xfId="0" applyNumberFormat="1" applyFont="1" applyBorder="1" applyAlignment="1">
      <alignment vertical="center" wrapText="1"/>
    </xf>
    <xf numFmtId="193" fontId="38" fillId="0" borderId="7" xfId="0" applyNumberFormat="1" applyFont="1" applyBorder="1" applyAlignment="1">
      <alignment vertical="center" wrapText="1"/>
    </xf>
    <xf numFmtId="251" fontId="47" fillId="3" borderId="0" xfId="0" applyNumberFormat="1" applyFont="1" applyFill="1"/>
    <xf numFmtId="184" fontId="0" fillId="0" borderId="1" xfId="11" applyNumberFormat="1" applyFont="1" applyBorder="1" applyAlignment="1">
      <alignment vertical="center"/>
    </xf>
    <xf numFmtId="176" fontId="81" fillId="0" borderId="1" xfId="0" applyNumberFormat="1" applyFont="1" applyBorder="1" applyAlignment="1">
      <alignment vertical="center"/>
    </xf>
    <xf numFmtId="176" fontId="0" fillId="0" borderId="0" xfId="0" applyNumberFormat="1" applyAlignment="1">
      <alignment vertical="center"/>
    </xf>
    <xf numFmtId="211" fontId="0" fillId="0" borderId="0" xfId="0" applyNumberFormat="1" applyAlignment="1">
      <alignment vertical="center"/>
    </xf>
    <xf numFmtId="2" fontId="0" fillId="0" borderId="0" xfId="0" applyNumberFormat="1" applyAlignment="1">
      <alignment vertical="center"/>
    </xf>
    <xf numFmtId="176" fontId="27" fillId="0" borderId="16" xfId="11" applyNumberFormat="1" applyFont="1" applyFill="1" applyBorder="1" applyAlignment="1">
      <alignment horizontal="center" vertical="center"/>
    </xf>
    <xf numFmtId="0" fontId="17" fillId="0" borderId="0" xfId="0" applyFont="1" applyAlignment="1">
      <alignment horizontal="center"/>
    </xf>
    <xf numFmtId="4" fontId="37" fillId="0" borderId="0" xfId="0" applyNumberFormat="1" applyFont="1"/>
    <xf numFmtId="165" fontId="47" fillId="0" borderId="8" xfId="10" applyFont="1" applyFill="1" applyBorder="1" applyAlignment="1">
      <alignment horizontal="right" vertical="center" wrapText="1"/>
    </xf>
    <xf numFmtId="176" fontId="8" fillId="0" borderId="0" xfId="11" applyNumberFormat="1" applyFont="1"/>
    <xf numFmtId="3" fontId="38" fillId="0" borderId="8" xfId="0" applyNumberFormat="1" applyFont="1" applyBorder="1" applyAlignment="1">
      <alignment horizontal="right" vertical="center" wrapText="1"/>
    </xf>
    <xf numFmtId="183" fontId="38" fillId="0" borderId="8" xfId="0" applyNumberFormat="1" applyFont="1" applyBorder="1" applyAlignment="1">
      <alignment horizontal="right" vertical="center" wrapText="1"/>
    </xf>
    <xf numFmtId="3" fontId="37" fillId="0" borderId="1" xfId="0" applyNumberFormat="1" applyFont="1" applyBorder="1" applyAlignment="1">
      <alignment horizontal="right" vertical="center" wrapText="1"/>
    </xf>
    <xf numFmtId="171" fontId="37" fillId="0" borderId="1" xfId="0" applyNumberFormat="1" applyFont="1" applyBorder="1" applyAlignment="1">
      <alignment vertical="center" wrapText="1"/>
    </xf>
    <xf numFmtId="171" fontId="37" fillId="0" borderId="6" xfId="0" applyNumberFormat="1" applyFont="1" applyBorder="1" applyAlignment="1">
      <alignment vertical="center" wrapText="1"/>
    </xf>
    <xf numFmtId="0" fontId="47" fillId="0" borderId="0" xfId="0" applyFont="1" applyAlignment="1">
      <alignment horizontal="center" vertical="center"/>
    </xf>
    <xf numFmtId="190" fontId="50" fillId="0" borderId="0" xfId="11" applyNumberFormat="1" applyFont="1" applyBorder="1"/>
    <xf numFmtId="197" fontId="47" fillId="0" borderId="0" xfId="0" applyNumberFormat="1" applyFont="1"/>
    <xf numFmtId="190" fontId="38" fillId="0" borderId="0" xfId="11" applyNumberFormat="1" applyFont="1" applyFill="1" applyAlignment="1">
      <alignment vertical="center"/>
    </xf>
    <xf numFmtId="237" fontId="47" fillId="0" borderId="0" xfId="0" applyNumberFormat="1" applyFont="1"/>
    <xf numFmtId="226" fontId="47" fillId="0" borderId="0" xfId="11" applyNumberFormat="1" applyFont="1"/>
    <xf numFmtId="238" fontId="47" fillId="0" borderId="0" xfId="0" applyNumberFormat="1" applyFont="1"/>
    <xf numFmtId="176" fontId="47" fillId="0" borderId="0" xfId="11" applyNumberFormat="1" applyFont="1" applyBorder="1"/>
    <xf numFmtId="176" fontId="72" fillId="0" borderId="0" xfId="11" applyNumberFormat="1" applyFont="1" applyBorder="1"/>
    <xf numFmtId="212" fontId="50" fillId="0" borderId="0" xfId="11" applyNumberFormat="1" applyFont="1" applyBorder="1"/>
    <xf numFmtId="208" fontId="50" fillId="0" borderId="0" xfId="11" applyNumberFormat="1" applyFont="1" applyAlignment="1">
      <alignment vertical="center"/>
    </xf>
    <xf numFmtId="0" fontId="17" fillId="0" borderId="15" xfId="0" applyFont="1" applyBorder="1" applyAlignment="1">
      <alignment horizontal="center" vertical="center" wrapText="1"/>
    </xf>
    <xf numFmtId="0" fontId="17" fillId="0" borderId="15" xfId="0" applyFont="1" applyBorder="1" applyAlignment="1">
      <alignment vertical="center" wrapText="1"/>
    </xf>
    <xf numFmtId="167" fontId="17" fillId="0" borderId="15" xfId="0" applyNumberFormat="1" applyFont="1" applyBorder="1" applyAlignment="1">
      <alignment horizontal="right" vertical="center" wrapText="1"/>
    </xf>
    <xf numFmtId="3" fontId="47" fillId="0" borderId="0" xfId="2" applyNumberFormat="1" applyFont="1"/>
    <xf numFmtId="4" fontId="47" fillId="0" borderId="0" xfId="2" applyNumberFormat="1" applyFont="1"/>
    <xf numFmtId="167" fontId="50" fillId="0" borderId="0" xfId="2" applyNumberFormat="1" applyFont="1" applyAlignment="1">
      <alignment horizontal="right"/>
    </xf>
    <xf numFmtId="3" fontId="50" fillId="0" borderId="0" xfId="2" applyNumberFormat="1" applyFont="1"/>
    <xf numFmtId="174" fontId="50" fillId="0" borderId="0" xfId="10" applyNumberFormat="1" applyFont="1" applyFill="1"/>
    <xf numFmtId="3" fontId="47" fillId="0" borderId="0" xfId="2" applyNumberFormat="1" applyFont="1" applyAlignment="1">
      <alignment horizontal="center" vertical="center"/>
    </xf>
    <xf numFmtId="3" fontId="47" fillId="0" borderId="0" xfId="2" applyNumberFormat="1" applyFont="1" applyAlignment="1">
      <alignment vertical="center"/>
    </xf>
    <xf numFmtId="174" fontId="47" fillId="0" borderId="0" xfId="10" applyNumberFormat="1" applyFont="1" applyFill="1" applyAlignment="1">
      <alignment vertical="center"/>
    </xf>
    <xf numFmtId="3" fontId="10" fillId="0" borderId="1" xfId="2" applyNumberFormat="1" applyFont="1" applyBorder="1" applyAlignment="1">
      <alignment horizontal="center" vertical="center"/>
    </xf>
    <xf numFmtId="167" fontId="10" fillId="0" borderId="1" xfId="2" applyNumberFormat="1" applyFont="1" applyBorder="1" applyAlignment="1">
      <alignment horizontal="center" vertical="center"/>
    </xf>
    <xf numFmtId="3" fontId="50" fillId="0" borderId="0" xfId="2" applyNumberFormat="1" applyFont="1" applyAlignment="1">
      <alignment horizontal="center"/>
    </xf>
    <xf numFmtId="174" fontId="50" fillId="0" borderId="0" xfId="10" applyNumberFormat="1" applyFont="1" applyFill="1" applyAlignment="1">
      <alignment horizontal="center"/>
    </xf>
    <xf numFmtId="4" fontId="10" fillId="0" borderId="1" xfId="2" applyNumberFormat="1" applyFont="1" applyBorder="1" applyAlignment="1">
      <alignment horizontal="center" vertical="center"/>
    </xf>
    <xf numFmtId="176" fontId="10" fillId="0" borderId="1" xfId="11" applyNumberFormat="1" applyFont="1" applyFill="1" applyBorder="1" applyAlignment="1">
      <alignment horizontal="center" vertical="center"/>
    </xf>
    <xf numFmtId="3" fontId="10" fillId="0" borderId="1" xfId="2" applyNumberFormat="1" applyFont="1" applyBorder="1" applyAlignment="1">
      <alignment horizontal="justify" vertical="center"/>
    </xf>
    <xf numFmtId="167" fontId="10" fillId="0" borderId="1" xfId="2" applyNumberFormat="1" applyFont="1" applyBorder="1" applyAlignment="1">
      <alignment horizontal="right" vertical="center"/>
    </xf>
    <xf numFmtId="183" fontId="10" fillId="0" borderId="1" xfId="2" applyNumberFormat="1" applyFont="1" applyBorder="1" applyAlignment="1">
      <alignment horizontal="right" vertical="center"/>
    </xf>
    <xf numFmtId="3" fontId="17" fillId="0" borderId="1" xfId="2" applyNumberFormat="1" applyFont="1" applyBorder="1" applyAlignment="1">
      <alignment horizontal="center" vertical="center"/>
    </xf>
    <xf numFmtId="0" fontId="17" fillId="0" borderId="1" xfId="0" applyFont="1" applyBorder="1" applyAlignment="1">
      <alignment vertical="center" wrapText="1"/>
    </xf>
    <xf numFmtId="167" fontId="17" fillId="0" borderId="1" xfId="2" applyNumberFormat="1" applyFont="1" applyBorder="1" applyAlignment="1">
      <alignment horizontal="right" vertical="center"/>
    </xf>
    <xf numFmtId="245" fontId="50" fillId="0" borderId="0" xfId="2" applyNumberFormat="1" applyFont="1" applyAlignment="1">
      <alignment horizontal="center" vertical="center"/>
    </xf>
    <xf numFmtId="4" fontId="10" fillId="0" borderId="1" xfId="2" applyNumberFormat="1" applyFont="1" applyBorder="1" applyAlignment="1">
      <alignment horizontal="right" vertical="center"/>
    </xf>
    <xf numFmtId="3" fontId="47" fillId="0" borderId="0" xfId="2" applyNumberFormat="1" applyFont="1" applyAlignment="1">
      <alignment horizontal="center"/>
    </xf>
    <xf numFmtId="213" fontId="47" fillId="0" borderId="0" xfId="11" applyNumberFormat="1" applyFont="1" applyFill="1" applyAlignment="1">
      <alignment horizontal="center"/>
    </xf>
    <xf numFmtId="174" fontId="47" fillId="0" borderId="0" xfId="10" applyNumberFormat="1" applyFont="1" applyFill="1" applyAlignment="1">
      <alignment horizontal="center"/>
    </xf>
    <xf numFmtId="167" fontId="17" fillId="0" borderId="1" xfId="3" applyNumberFormat="1" applyFont="1" applyBorder="1" applyAlignment="1">
      <alignment vertical="center" wrapText="1"/>
    </xf>
    <xf numFmtId="3" fontId="10" fillId="0" borderId="6" xfId="2" applyNumberFormat="1" applyFont="1" applyBorder="1" applyAlignment="1">
      <alignment horizontal="center" vertical="center"/>
    </xf>
    <xf numFmtId="165" fontId="10" fillId="0" borderId="1" xfId="10" applyFont="1" applyFill="1" applyBorder="1" applyAlignment="1">
      <alignment horizontal="justify" vertical="center" wrapText="1"/>
    </xf>
    <xf numFmtId="167" fontId="47" fillId="0" borderId="0" xfId="2" applyNumberFormat="1" applyFont="1" applyAlignment="1">
      <alignment horizontal="center"/>
    </xf>
    <xf numFmtId="3" fontId="10" fillId="0" borderId="3" xfId="2" applyNumberFormat="1" applyFont="1" applyBorder="1" applyAlignment="1">
      <alignment horizontal="center" vertical="center"/>
    </xf>
    <xf numFmtId="3" fontId="17" fillId="0" borderId="7" xfId="2" applyNumberFormat="1" applyFont="1" applyBorder="1" applyAlignment="1">
      <alignment horizontal="center" vertical="center"/>
    </xf>
    <xf numFmtId="0" fontId="17" fillId="0" borderId="1" xfId="61" applyFont="1" applyBorder="1" applyAlignment="1">
      <alignment horizontal="justify" vertical="center" wrapText="1"/>
    </xf>
    <xf numFmtId="167" fontId="17" fillId="0" borderId="1" xfId="2" applyNumberFormat="1" applyFont="1" applyBorder="1" applyAlignment="1">
      <alignment vertical="center" wrapText="1"/>
    </xf>
    <xf numFmtId="193" fontId="47" fillId="0" borderId="0" xfId="2" applyNumberFormat="1" applyFont="1" applyAlignment="1">
      <alignment horizontal="center"/>
    </xf>
    <xf numFmtId="2" fontId="17" fillId="0" borderId="1" xfId="0" applyNumberFormat="1" applyFont="1" applyBorder="1" applyAlignment="1">
      <alignment horizontal="justify" vertical="center" wrapText="1"/>
    </xf>
    <xf numFmtId="245" fontId="47" fillId="0" borderId="0" xfId="2" applyNumberFormat="1" applyFont="1" applyAlignment="1">
      <alignment vertical="center"/>
    </xf>
    <xf numFmtId="3" fontId="17" fillId="0" borderId="7" xfId="84" applyNumberFormat="1" applyFont="1" applyBorder="1" applyAlignment="1">
      <alignment horizontal="justify" vertical="center" wrapText="1"/>
    </xf>
    <xf numFmtId="167" fontId="17" fillId="0" borderId="7" xfId="2" applyNumberFormat="1" applyFont="1" applyBorder="1" applyAlignment="1">
      <alignment vertical="center" wrapText="1"/>
    </xf>
    <xf numFmtId="3" fontId="17" fillId="0" borderId="7" xfId="61" applyNumberFormat="1" applyFont="1" applyBorder="1" applyAlignment="1">
      <alignment horizontal="justify" vertical="center" wrapText="1"/>
    </xf>
    <xf numFmtId="4" fontId="17" fillId="0" borderId="7" xfId="2" applyNumberFormat="1" applyFont="1" applyBorder="1" applyAlignment="1">
      <alignment vertical="center" wrapText="1"/>
    </xf>
    <xf numFmtId="0" fontId="17" fillId="0" borderId="7" xfId="0" applyFont="1" applyBorder="1" applyAlignment="1">
      <alignment horizontal="justify" vertical="center" wrapText="1"/>
    </xf>
    <xf numFmtId="197" fontId="47" fillId="0" borderId="0" xfId="2" applyNumberFormat="1" applyFont="1" applyAlignment="1">
      <alignment vertical="center"/>
    </xf>
    <xf numFmtId="183" fontId="47" fillId="0" borderId="0" xfId="2" applyNumberFormat="1" applyFont="1" applyAlignment="1">
      <alignment vertical="center"/>
    </xf>
    <xf numFmtId="167" fontId="17" fillId="0" borderId="3" xfId="2" applyNumberFormat="1" applyFont="1" applyBorder="1" applyAlignment="1">
      <alignment vertical="center" wrapText="1"/>
    </xf>
    <xf numFmtId="4" fontId="47" fillId="0" borderId="0" xfId="2" applyNumberFormat="1" applyFont="1" applyAlignment="1">
      <alignment vertical="center"/>
    </xf>
    <xf numFmtId="3" fontId="17" fillId="0" borderId="3" xfId="84" applyNumberFormat="1" applyFont="1" applyBorder="1" applyAlignment="1">
      <alignment horizontal="justify" vertical="center" wrapText="1"/>
    </xf>
    <xf numFmtId="3" fontId="17" fillId="0" borderId="8" xfId="2" applyNumberFormat="1" applyFont="1" applyBorder="1" applyAlignment="1">
      <alignment horizontal="center" vertical="center"/>
    </xf>
    <xf numFmtId="3" fontId="17" fillId="0" borderId="8" xfId="2" applyNumberFormat="1" applyFont="1" applyBorder="1" applyAlignment="1">
      <alignment horizontal="justify" vertical="center" wrapText="1"/>
    </xf>
    <xf numFmtId="202" fontId="47" fillId="0" borderId="0" xfId="87" applyNumberFormat="1" applyFont="1" applyAlignment="1">
      <alignment vertical="center" wrapText="1"/>
    </xf>
    <xf numFmtId="3" fontId="11" fillId="0" borderId="4" xfId="2" applyNumberFormat="1" applyFont="1" applyBorder="1" applyAlignment="1">
      <alignment horizontal="center" vertical="center"/>
    </xf>
    <xf numFmtId="3" fontId="11" fillId="0" borderId="4" xfId="2" applyNumberFormat="1" applyFont="1" applyBorder="1" applyAlignment="1">
      <alignment horizontal="justify" vertical="center" wrapText="1"/>
    </xf>
    <xf numFmtId="3" fontId="55" fillId="0" borderId="0" xfId="2" applyNumberFormat="1" applyFont="1" applyAlignment="1">
      <alignment vertical="center"/>
    </xf>
    <xf numFmtId="174" fontId="55" fillId="0" borderId="0" xfId="10" applyNumberFormat="1" applyFont="1" applyFill="1" applyAlignment="1">
      <alignment vertical="center"/>
    </xf>
    <xf numFmtId="4" fontId="11" fillId="0" borderId="4" xfId="2" applyNumberFormat="1" applyFont="1" applyBorder="1" applyAlignment="1">
      <alignment vertical="center" wrapText="1"/>
    </xf>
    <xf numFmtId="3" fontId="50" fillId="0" borderId="0" xfId="2" applyNumberFormat="1" applyFont="1" applyAlignment="1">
      <alignment vertical="center"/>
    </xf>
    <xf numFmtId="3" fontId="50" fillId="0" borderId="0" xfId="2" applyNumberFormat="1" applyFont="1" applyAlignment="1">
      <alignment horizontal="justify" vertical="center"/>
    </xf>
    <xf numFmtId="4" fontId="50" fillId="0" borderId="0" xfId="2" applyNumberFormat="1" applyFont="1" applyAlignment="1">
      <alignment vertical="center"/>
    </xf>
    <xf numFmtId="167" fontId="50" fillId="0" borderId="0" xfId="2" applyNumberFormat="1" applyFont="1" applyAlignment="1">
      <alignment vertical="center"/>
    </xf>
    <xf numFmtId="174" fontId="50" fillId="0" borderId="0" xfId="10" applyNumberFormat="1" applyFont="1" applyFill="1" applyAlignment="1">
      <alignment vertical="center"/>
    </xf>
    <xf numFmtId="193" fontId="50" fillId="0" borderId="0" xfId="2" applyNumberFormat="1" applyFont="1" applyAlignment="1">
      <alignment vertical="center"/>
    </xf>
    <xf numFmtId="3" fontId="47" fillId="0" borderId="0" xfId="2" applyNumberFormat="1" applyFont="1" applyAlignment="1">
      <alignment horizontal="justify" vertical="center"/>
    </xf>
    <xf numFmtId="193" fontId="47" fillId="0" borderId="0" xfId="2" applyNumberFormat="1" applyFont="1" applyAlignment="1">
      <alignment vertical="center"/>
    </xf>
    <xf numFmtId="167" fontId="47" fillId="0" borderId="0" xfId="2" applyNumberFormat="1" applyFont="1" applyAlignment="1">
      <alignment vertical="center"/>
    </xf>
    <xf numFmtId="3" fontId="17" fillId="0" borderId="0" xfId="2" applyNumberFormat="1" applyFont="1" applyAlignment="1">
      <alignment horizontal="center"/>
    </xf>
    <xf numFmtId="3" fontId="17" fillId="0" borderId="0" xfId="2" applyNumberFormat="1" applyFont="1" applyAlignment="1">
      <alignment horizontal="justify"/>
    </xf>
    <xf numFmtId="3" fontId="17" fillId="0" borderId="0" xfId="2" applyNumberFormat="1" applyFont="1"/>
    <xf numFmtId="193" fontId="17" fillId="0" borderId="0" xfId="2" applyNumberFormat="1" applyFont="1" applyAlignment="1">
      <alignment vertical="center"/>
    </xf>
    <xf numFmtId="167" fontId="17" fillId="0" borderId="0" xfId="2" applyNumberFormat="1" applyFont="1"/>
    <xf numFmtId="174" fontId="17" fillId="0" borderId="0" xfId="10" applyNumberFormat="1" applyFont="1" applyFill="1"/>
    <xf numFmtId="245" fontId="17" fillId="0" borderId="0" xfId="2" applyNumberFormat="1" applyFont="1"/>
    <xf numFmtId="221" fontId="17" fillId="0" borderId="0" xfId="2" applyNumberFormat="1" applyFont="1"/>
    <xf numFmtId="4" fontId="17" fillId="0" borderId="0" xfId="2" applyNumberFormat="1" applyFont="1"/>
    <xf numFmtId="193" fontId="17" fillId="0" borderId="0" xfId="2" applyNumberFormat="1" applyFont="1"/>
    <xf numFmtId="197" fontId="17" fillId="0" borderId="0" xfId="2" applyNumberFormat="1" applyFont="1"/>
    <xf numFmtId="4" fontId="17" fillId="0" borderId="1" xfId="3" applyNumberFormat="1" applyFont="1" applyBorder="1" applyAlignment="1">
      <alignment vertical="center" wrapText="1"/>
    </xf>
    <xf numFmtId="4" fontId="17" fillId="0" borderId="3" xfId="2" applyNumberFormat="1" applyFont="1" applyBorder="1" applyAlignment="1">
      <alignment vertical="center" wrapText="1"/>
    </xf>
    <xf numFmtId="4" fontId="17" fillId="0" borderId="1" xfId="2" applyNumberFormat="1" applyFont="1" applyBorder="1" applyAlignment="1">
      <alignment vertical="center" wrapText="1"/>
    </xf>
    <xf numFmtId="238" fontId="47" fillId="0" borderId="0" xfId="2" applyNumberFormat="1" applyFont="1" applyAlignment="1">
      <alignment vertical="center"/>
    </xf>
    <xf numFmtId="238" fontId="17" fillId="0" borderId="0" xfId="2" applyNumberFormat="1" applyFont="1"/>
    <xf numFmtId="3" fontId="50" fillId="0" borderId="0" xfId="0" applyNumberFormat="1" applyFont="1"/>
    <xf numFmtId="190" fontId="55" fillId="0" borderId="0" xfId="11" applyNumberFormat="1" applyFont="1"/>
    <xf numFmtId="164" fontId="37" fillId="0" borderId="0" xfId="0" applyNumberFormat="1" applyFont="1"/>
    <xf numFmtId="167" fontId="17" fillId="0" borderId="9" xfId="10" applyNumberFormat="1" applyFont="1" applyFill="1" applyBorder="1" applyAlignment="1">
      <alignment horizontal="right" vertical="center" wrapText="1"/>
    </xf>
    <xf numFmtId="0" fontId="17" fillId="0" borderId="9" xfId="0" applyFont="1" applyBorder="1" applyAlignment="1">
      <alignment horizontal="center" vertical="center" wrapText="1"/>
    </xf>
    <xf numFmtId="3" fontId="17" fillId="0" borderId="7" xfId="0" applyNumberFormat="1" applyFont="1" applyBorder="1" applyAlignment="1">
      <alignment horizontal="right" vertical="center" wrapText="1"/>
    </xf>
    <xf numFmtId="176" fontId="17" fillId="0" borderId="0" xfId="11" applyNumberFormat="1" applyFont="1" applyFill="1"/>
    <xf numFmtId="3" fontId="10" fillId="0" borderId="7" xfId="0" applyNumberFormat="1" applyFont="1" applyBorder="1" applyAlignment="1">
      <alignment horizontal="right" vertical="center" wrapText="1"/>
    </xf>
    <xf numFmtId="0" fontId="17" fillId="0" borderId="0" xfId="0" applyFont="1" applyAlignment="1">
      <alignment horizontal="center" vertical="center"/>
    </xf>
    <xf numFmtId="0" fontId="10" fillId="0" borderId="0" xfId="0" applyFont="1" applyAlignment="1">
      <alignment horizontal="center"/>
    </xf>
    <xf numFmtId="210" fontId="48" fillId="0" borderId="0" xfId="0" applyNumberFormat="1" applyFont="1"/>
    <xf numFmtId="165" fontId="48" fillId="0" borderId="0" xfId="0" applyNumberFormat="1" applyFont="1"/>
    <xf numFmtId="0" fontId="48" fillId="0" borderId="0" xfId="0" applyFont="1"/>
    <xf numFmtId="165" fontId="48" fillId="0" borderId="1" xfId="10" applyFont="1" applyFill="1" applyBorder="1" applyAlignment="1">
      <alignment horizontal="center" vertical="center" wrapText="1"/>
    </xf>
    <xf numFmtId="165" fontId="48" fillId="0" borderId="1" xfId="10" applyFont="1" applyFill="1" applyBorder="1" applyAlignment="1">
      <alignment vertical="center" wrapText="1"/>
    </xf>
    <xf numFmtId="165" fontId="51" fillId="0" borderId="1" xfId="10" applyFont="1" applyFill="1" applyBorder="1" applyAlignment="1">
      <alignment horizontal="center" vertical="center" wrapText="1"/>
    </xf>
    <xf numFmtId="165" fontId="51" fillId="0" borderId="1" xfId="10" applyFont="1" applyFill="1" applyBorder="1" applyAlignment="1">
      <alignment horizontal="justify" vertical="center" wrapText="1"/>
    </xf>
    <xf numFmtId="219" fontId="51" fillId="0" borderId="0" xfId="0" applyNumberFormat="1" applyFont="1"/>
    <xf numFmtId="0" fontId="51" fillId="0" borderId="0" xfId="0" applyFont="1"/>
    <xf numFmtId="2" fontId="48" fillId="0" borderId="1" xfId="0" applyNumberFormat="1" applyFont="1" applyBorder="1" applyAlignment="1">
      <alignment horizontal="justify" vertical="center" wrapText="1"/>
    </xf>
    <xf numFmtId="2" fontId="48" fillId="0" borderId="1" xfId="0" applyNumberFormat="1" applyFont="1" applyBorder="1" applyAlignment="1">
      <alignment vertical="center" wrapText="1"/>
    </xf>
    <xf numFmtId="165" fontId="48" fillId="0" borderId="1" xfId="10" applyFont="1" applyFill="1" applyBorder="1" applyAlignment="1">
      <alignment horizontal="justify" vertical="center" wrapText="1"/>
    </xf>
    <xf numFmtId="0" fontId="48" fillId="0" borderId="0" xfId="0" applyFont="1" applyAlignment="1">
      <alignment horizontal="center"/>
    </xf>
    <xf numFmtId="182" fontId="48" fillId="0" borderId="0" xfId="0" applyNumberFormat="1" applyFont="1"/>
    <xf numFmtId="190" fontId="48" fillId="0" borderId="0" xfId="11" applyNumberFormat="1" applyFont="1" applyFill="1"/>
    <xf numFmtId="0" fontId="51" fillId="0" borderId="35" xfId="0" applyFont="1" applyBorder="1" applyAlignment="1">
      <alignment horizontal="center" vertical="center" wrapText="1"/>
    </xf>
    <xf numFmtId="211" fontId="48" fillId="0" borderId="0" xfId="0" applyNumberFormat="1" applyFont="1"/>
    <xf numFmtId="0" fontId="51" fillId="0" borderId="1" xfId="0" applyFont="1" applyBorder="1" applyAlignment="1">
      <alignment vertical="center" wrapText="1"/>
    </xf>
    <xf numFmtId="210" fontId="48" fillId="0" borderId="0" xfId="0" applyNumberFormat="1" applyFont="1" applyAlignment="1">
      <alignment horizontal="center"/>
    </xf>
    <xf numFmtId="235" fontId="48" fillId="0" borderId="0" xfId="0" applyNumberFormat="1" applyFont="1"/>
    <xf numFmtId="3" fontId="48" fillId="0" borderId="1" xfId="0" applyNumberFormat="1" applyFont="1" applyBorder="1" applyAlignment="1">
      <alignment horizontal="justify" vertical="center" wrapText="1"/>
    </xf>
    <xf numFmtId="0" fontId="48" fillId="0" borderId="1" xfId="61" applyFont="1" applyBorder="1" applyAlignment="1">
      <alignment horizontal="justify" vertical="center" wrapText="1"/>
    </xf>
    <xf numFmtId="165" fontId="51" fillId="0" borderId="1" xfId="10" applyFont="1" applyFill="1" applyBorder="1" applyAlignment="1">
      <alignment vertical="center" wrapText="1"/>
    </xf>
    <xf numFmtId="3" fontId="51" fillId="0" borderId="1" xfId="0" applyNumberFormat="1" applyFont="1" applyBorder="1" applyAlignment="1">
      <alignment horizontal="justify" vertical="center" wrapText="1"/>
    </xf>
    <xf numFmtId="165" fontId="51" fillId="0" borderId="0" xfId="0" applyNumberFormat="1" applyFont="1"/>
    <xf numFmtId="0" fontId="48" fillId="0" borderId="1" xfId="0" applyFont="1" applyBorder="1" applyAlignment="1">
      <alignment vertical="center" wrapText="1"/>
    </xf>
    <xf numFmtId="3" fontId="48" fillId="0" borderId="1" xfId="83" applyNumberFormat="1" applyFont="1" applyBorder="1" applyAlignment="1">
      <alignment horizontal="justify" vertical="center" wrapText="1"/>
    </xf>
    <xf numFmtId="3" fontId="89" fillId="0" borderId="0" xfId="0" applyNumberFormat="1" applyFont="1" applyAlignment="1" applyProtection="1">
      <alignment vertical="center" wrapText="1" shrinkToFit="1"/>
      <protection locked="0"/>
    </xf>
    <xf numFmtId="0" fontId="48" fillId="0" borderId="0" xfId="0" applyFont="1" applyAlignment="1">
      <alignment vertical="center"/>
    </xf>
    <xf numFmtId="3" fontId="48" fillId="0" borderId="1" xfId="84" applyNumberFormat="1" applyFont="1" applyBorder="1" applyAlignment="1">
      <alignment horizontal="justify" vertical="center" wrapText="1"/>
    </xf>
    <xf numFmtId="3" fontId="48" fillId="0" borderId="1" xfId="61" applyNumberFormat="1" applyFont="1" applyBorder="1" applyAlignment="1">
      <alignment horizontal="justify" vertical="center" wrapText="1"/>
    </xf>
    <xf numFmtId="2" fontId="48" fillId="0" borderId="1" xfId="61" applyNumberFormat="1" applyFont="1" applyBorder="1" applyAlignment="1">
      <alignment horizontal="justify" vertical="center" wrapText="1"/>
    </xf>
    <xf numFmtId="0" fontId="48" fillId="0" borderId="1" xfId="0" applyFont="1" applyBorder="1" applyAlignment="1">
      <alignment horizontal="justify" vertical="center" wrapText="1"/>
    </xf>
    <xf numFmtId="0" fontId="51" fillId="0" borderId="1" xfId="0" applyFont="1" applyBorder="1" applyAlignment="1">
      <alignment horizontal="justify" vertical="center" wrapText="1"/>
    </xf>
    <xf numFmtId="0" fontId="48" fillId="0" borderId="1" xfId="0" applyFont="1" applyBorder="1"/>
    <xf numFmtId="0" fontId="48" fillId="0" borderId="1" xfId="0" applyFont="1" applyBorder="1" applyAlignment="1">
      <alignment horizontal="center"/>
    </xf>
    <xf numFmtId="4" fontId="48" fillId="0" borderId="0" xfId="0" applyNumberFormat="1" applyFont="1"/>
    <xf numFmtId="167" fontId="10" fillId="0" borderId="3" xfId="2" applyNumberFormat="1" applyFont="1" applyBorder="1" applyAlignment="1">
      <alignment horizontal="right" vertical="center"/>
    </xf>
    <xf numFmtId="3" fontId="10" fillId="0" borderId="7" xfId="2" applyNumberFormat="1" applyFont="1" applyBorder="1" applyAlignment="1">
      <alignment horizontal="center" vertical="center"/>
    </xf>
    <xf numFmtId="3" fontId="10" fillId="0" borderId="7" xfId="2" applyNumberFormat="1" applyFont="1" applyBorder="1" applyAlignment="1">
      <alignment horizontal="justify" vertical="center"/>
    </xf>
    <xf numFmtId="0" fontId="27" fillId="0" borderId="1" xfId="0" applyFont="1" applyBorder="1" applyAlignment="1">
      <alignment horizontal="center" vertical="center" wrapText="1"/>
    </xf>
    <xf numFmtId="212" fontId="27" fillId="0" borderId="1" xfId="11" applyNumberFormat="1" applyFont="1" applyBorder="1" applyAlignment="1">
      <alignment horizontal="center" vertical="center"/>
    </xf>
    <xf numFmtId="213" fontId="27" fillId="0" borderId="1" xfId="11" applyNumberFormat="1" applyFont="1" applyBorder="1" applyAlignment="1">
      <alignment horizontal="center" vertical="center"/>
    </xf>
    <xf numFmtId="212" fontId="27" fillId="0" borderId="0" xfId="11" applyNumberFormat="1" applyFont="1" applyFill="1" applyBorder="1" applyAlignment="1">
      <alignment horizontal="center" vertical="center"/>
    </xf>
    <xf numFmtId="239" fontId="27" fillId="0" borderId="16" xfId="11" applyNumberFormat="1" applyFont="1" applyFill="1" applyBorder="1" applyAlignment="1">
      <alignment horizontal="center" vertical="center"/>
    </xf>
    <xf numFmtId="233" fontId="8" fillId="0" borderId="0" xfId="0" applyNumberFormat="1" applyFont="1"/>
    <xf numFmtId="213" fontId="8" fillId="0" borderId="0" xfId="11" applyNumberFormat="1" applyFont="1"/>
    <xf numFmtId="0" fontId="8" fillId="0" borderId="1" xfId="0" applyFont="1" applyBorder="1" applyAlignment="1">
      <alignment vertical="center"/>
    </xf>
    <xf numFmtId="0" fontId="8" fillId="0" borderId="1" xfId="0" applyFont="1" applyBorder="1" applyAlignment="1">
      <alignment horizontal="center" vertical="center" wrapText="1"/>
    </xf>
    <xf numFmtId="213" fontId="8" fillId="0" borderId="1" xfId="11" applyNumberFormat="1" applyFont="1" applyBorder="1" applyAlignment="1">
      <alignment vertical="center" wrapText="1"/>
    </xf>
    <xf numFmtId="213" fontId="8" fillId="0" borderId="1" xfId="11" applyNumberFormat="1" applyFont="1" applyBorder="1" applyAlignment="1">
      <alignment vertical="center"/>
    </xf>
    <xf numFmtId="176" fontId="8" fillId="0" borderId="1" xfId="11" applyNumberFormat="1" applyFont="1" applyBorder="1" applyAlignment="1">
      <alignment vertical="center"/>
    </xf>
    <xf numFmtId="176" fontId="8" fillId="0" borderId="1" xfId="0" applyNumberFormat="1" applyFont="1" applyBorder="1" applyAlignment="1">
      <alignment vertical="center"/>
    </xf>
    <xf numFmtId="252" fontId="8" fillId="0" borderId="0" xfId="0" applyNumberFormat="1" applyFont="1" applyAlignment="1">
      <alignment vertical="center"/>
    </xf>
    <xf numFmtId="252" fontId="8" fillId="0" borderId="0" xfId="0" applyNumberFormat="1" applyFont="1" applyAlignment="1">
      <alignment vertical="center" wrapText="1"/>
    </xf>
    <xf numFmtId="0" fontId="8" fillId="0" borderId="0" xfId="0" quotePrefix="1" applyFont="1" applyAlignment="1">
      <alignment horizontal="center" vertical="center"/>
    </xf>
    <xf numFmtId="219" fontId="8" fillId="0" borderId="0" xfId="0" applyNumberFormat="1" applyFont="1"/>
    <xf numFmtId="176" fontId="8" fillId="0" borderId="0" xfId="11" applyNumberFormat="1" applyFont="1" applyFill="1" applyBorder="1" applyAlignment="1">
      <alignment vertical="center"/>
    </xf>
    <xf numFmtId="0" fontId="8" fillId="0" borderId="0" xfId="0" applyFont="1" applyAlignment="1">
      <alignment horizontal="right" vertical="center"/>
    </xf>
    <xf numFmtId="166" fontId="8" fillId="0" borderId="1" xfId="11" applyFont="1" applyBorder="1" applyAlignment="1">
      <alignment vertical="center"/>
    </xf>
    <xf numFmtId="176" fontId="8" fillId="0" borderId="1" xfId="11" applyNumberFormat="1" applyFont="1" applyBorder="1" applyAlignment="1">
      <alignment vertical="center" wrapText="1"/>
    </xf>
    <xf numFmtId="176" fontId="8" fillId="0" borderId="0" xfId="0" applyNumberFormat="1" applyFont="1"/>
    <xf numFmtId="213" fontId="22" fillId="0" borderId="1" xfId="11" applyNumberFormat="1" applyFont="1" applyBorder="1" applyAlignment="1">
      <alignment vertical="center"/>
    </xf>
    <xf numFmtId="208" fontId="8" fillId="0" borderId="1" xfId="11" applyNumberFormat="1" applyFont="1" applyBorder="1" applyAlignment="1">
      <alignment vertical="center"/>
    </xf>
    <xf numFmtId="176" fontId="8" fillId="0" borderId="0" xfId="11" applyNumberFormat="1" applyFont="1" applyBorder="1" applyAlignment="1">
      <alignment vertical="center"/>
    </xf>
    <xf numFmtId="176" fontId="22" fillId="0" borderId="1" xfId="0" applyNumberFormat="1" applyFont="1" applyBorder="1" applyAlignment="1">
      <alignment vertical="center"/>
    </xf>
    <xf numFmtId="176" fontId="8" fillId="0" borderId="0" xfId="11" applyNumberFormat="1" applyFont="1" applyBorder="1" applyAlignment="1">
      <alignment horizontal="center" vertical="center"/>
    </xf>
    <xf numFmtId="190" fontId="8" fillId="0" borderId="0" xfId="11" applyNumberFormat="1" applyFont="1" applyAlignment="1">
      <alignment vertical="center"/>
    </xf>
    <xf numFmtId="0" fontId="8" fillId="0" borderId="1" xfId="0" applyFont="1" applyBorder="1" applyAlignment="1">
      <alignment vertical="center" wrapText="1"/>
    </xf>
    <xf numFmtId="2" fontId="8" fillId="0" borderId="0" xfId="0" applyNumberFormat="1" applyFont="1" applyAlignment="1">
      <alignment vertical="center"/>
    </xf>
    <xf numFmtId="2" fontId="47" fillId="0" borderId="1" xfId="0" applyNumberFormat="1" applyFont="1" applyBorder="1" applyAlignment="1">
      <alignment horizontal="justify" vertical="center" wrapText="1"/>
    </xf>
    <xf numFmtId="3" fontId="8" fillId="0" borderId="0" xfId="0" applyNumberFormat="1" applyFont="1" applyAlignment="1">
      <alignment horizontal="right" vertical="center"/>
    </xf>
    <xf numFmtId="190" fontId="8" fillId="0" borderId="1" xfId="0" applyNumberFormat="1" applyFont="1" applyBorder="1" applyAlignment="1">
      <alignment vertical="center"/>
    </xf>
    <xf numFmtId="213" fontId="8" fillId="0" borderId="1" xfId="0" applyNumberFormat="1" applyFont="1" applyBorder="1" applyAlignment="1">
      <alignment vertical="center"/>
    </xf>
    <xf numFmtId="166" fontId="8" fillId="0" borderId="0" xfId="0" applyNumberFormat="1" applyFont="1" applyAlignment="1">
      <alignment vertical="center"/>
    </xf>
    <xf numFmtId="3" fontId="10" fillId="0" borderId="6" xfId="2" applyNumberFormat="1" applyFont="1" applyBorder="1" applyAlignment="1">
      <alignment horizontal="justify" vertical="center"/>
    </xf>
    <xf numFmtId="167" fontId="10" fillId="0" borderId="6" xfId="2" applyNumberFormat="1" applyFont="1" applyBorder="1" applyAlignment="1">
      <alignment horizontal="right" vertical="center"/>
    </xf>
    <xf numFmtId="4" fontId="10" fillId="0" borderId="7" xfId="3" applyNumberFormat="1" applyFont="1" applyBorder="1" applyAlignment="1">
      <alignment vertical="center" wrapText="1"/>
    </xf>
    <xf numFmtId="4" fontId="17" fillId="0" borderId="8" xfId="2" applyNumberFormat="1" applyFont="1" applyBorder="1" applyAlignment="1">
      <alignment vertical="center" wrapText="1"/>
    </xf>
    <xf numFmtId="4" fontId="11" fillId="0" borderId="8" xfId="2" applyNumberFormat="1" applyFont="1" applyBorder="1" applyAlignment="1">
      <alignment vertical="center" wrapText="1"/>
    </xf>
    <xf numFmtId="202" fontId="47" fillId="0" borderId="0" xfId="11" applyNumberFormat="1" applyFont="1" applyFill="1" applyBorder="1" applyAlignment="1">
      <alignment vertical="center"/>
    </xf>
    <xf numFmtId="174" fontId="48" fillId="0" borderId="0" xfId="0" applyNumberFormat="1" applyFont="1"/>
    <xf numFmtId="209" fontId="48" fillId="0" borderId="0" xfId="0" applyNumberFormat="1" applyFont="1"/>
    <xf numFmtId="164" fontId="50" fillId="3" borderId="0" xfId="0" applyNumberFormat="1" applyFont="1" applyFill="1"/>
    <xf numFmtId="0" fontId="17" fillId="0" borderId="9" xfId="0" applyFont="1" applyBorder="1" applyAlignment="1">
      <alignment vertical="center" wrapText="1"/>
    </xf>
    <xf numFmtId="183" fontId="17" fillId="0" borderId="9" xfId="10" applyNumberFormat="1" applyFont="1" applyFill="1" applyBorder="1" applyAlignment="1">
      <alignment horizontal="right" vertical="center" wrapText="1"/>
    </xf>
    <xf numFmtId="185" fontId="17" fillId="0" borderId="1" xfId="0" applyNumberFormat="1" applyFont="1" applyBorder="1" applyAlignment="1">
      <alignment horizontal="right" vertical="center" wrapText="1"/>
    </xf>
    <xf numFmtId="253" fontId="51" fillId="0" borderId="0" xfId="0" applyNumberFormat="1" applyFont="1"/>
    <xf numFmtId="0" fontId="51" fillId="0" borderId="1" xfId="0" applyFont="1" applyBorder="1" applyAlignment="1">
      <alignment horizontal="center" vertical="center"/>
    </xf>
    <xf numFmtId="0" fontId="51" fillId="0" borderId="1" xfId="0" applyFont="1" applyBorder="1" applyAlignment="1">
      <alignment vertical="center"/>
    </xf>
    <xf numFmtId="0" fontId="51" fillId="0" borderId="0" xfId="0" applyFont="1" applyAlignment="1">
      <alignment vertical="center"/>
    </xf>
    <xf numFmtId="208" fontId="8" fillId="0" borderId="0" xfId="0" applyNumberFormat="1" applyFont="1" applyAlignment="1">
      <alignment vertical="center"/>
    </xf>
    <xf numFmtId="210" fontId="17" fillId="0" borderId="0" xfId="0" applyNumberFormat="1" applyFont="1"/>
    <xf numFmtId="226" fontId="50" fillId="0" borderId="0" xfId="11" applyNumberFormat="1" applyFont="1" applyAlignment="1">
      <alignment vertical="center"/>
    </xf>
    <xf numFmtId="165" fontId="17" fillId="0" borderId="7" xfId="10" applyFont="1" applyBorder="1" applyAlignment="1">
      <alignment horizontal="center" vertical="center" wrapText="1"/>
    </xf>
    <xf numFmtId="165" fontId="10" fillId="0" borderId="7" xfId="10" applyFont="1" applyBorder="1" applyAlignment="1">
      <alignment horizontal="center" vertical="center" wrapText="1"/>
    </xf>
    <xf numFmtId="164" fontId="48" fillId="0" borderId="0" xfId="0" applyNumberFormat="1" applyFont="1"/>
    <xf numFmtId="3" fontId="50" fillId="0" borderId="1" xfId="0" applyNumberFormat="1" applyFont="1" applyBorder="1" applyAlignment="1">
      <alignment horizontal="right" vertical="center" wrapText="1"/>
    </xf>
    <xf numFmtId="254" fontId="47" fillId="0" borderId="0" xfId="11" applyNumberFormat="1" applyFont="1"/>
    <xf numFmtId="4" fontId="17" fillId="0" borderId="9" xfId="0" applyNumberFormat="1" applyFont="1" applyBorder="1" applyAlignment="1">
      <alignment horizontal="right" vertical="center" wrapText="1"/>
    </xf>
    <xf numFmtId="167" fontId="17" fillId="0" borderId="8" xfId="0" applyNumberFormat="1" applyFont="1" applyBorder="1" applyAlignment="1">
      <alignment horizontal="right" vertical="center" wrapText="1"/>
    </xf>
    <xf numFmtId="3" fontId="10" fillId="0" borderId="1" xfId="2" applyNumberFormat="1" applyFont="1" applyBorder="1" applyAlignment="1">
      <alignment horizontal="right" vertical="center"/>
    </xf>
    <xf numFmtId="0" fontId="83" fillId="0" borderId="0" xfId="0" applyFont="1" applyAlignment="1">
      <alignment vertical="center"/>
    </xf>
    <xf numFmtId="208" fontId="47" fillId="0" borderId="0" xfId="11" applyNumberFormat="1" applyFont="1" applyFill="1" applyAlignment="1">
      <alignment vertical="center"/>
    </xf>
    <xf numFmtId="233" fontId="47" fillId="0" borderId="0" xfId="0" applyNumberFormat="1" applyFont="1" applyAlignment="1">
      <alignment vertical="center"/>
    </xf>
    <xf numFmtId="217" fontId="50" fillId="0" borderId="0" xfId="0" applyNumberFormat="1" applyFont="1" applyAlignment="1">
      <alignment vertical="center"/>
    </xf>
    <xf numFmtId="193" fontId="50" fillId="0" borderId="0" xfId="0" applyNumberFormat="1" applyFont="1" applyAlignment="1">
      <alignment vertical="center"/>
    </xf>
    <xf numFmtId="245" fontId="47" fillId="0" borderId="0" xfId="0" applyNumberFormat="1" applyFont="1" applyAlignment="1">
      <alignment vertical="center"/>
    </xf>
    <xf numFmtId="193" fontId="47" fillId="0" borderId="0" xfId="0" applyNumberFormat="1" applyFont="1" applyAlignment="1">
      <alignment vertical="center"/>
    </xf>
    <xf numFmtId="226" fontId="52" fillId="0" borderId="0" xfId="11" applyNumberFormat="1" applyFont="1" applyFill="1" applyAlignment="1">
      <alignment vertical="center"/>
    </xf>
    <xf numFmtId="193" fontId="52" fillId="0" borderId="0" xfId="0" applyNumberFormat="1" applyFont="1" applyAlignment="1">
      <alignment vertical="center"/>
    </xf>
    <xf numFmtId="0" fontId="52" fillId="0" borderId="0" xfId="0" applyFont="1" applyAlignment="1">
      <alignment vertical="center"/>
    </xf>
    <xf numFmtId="0" fontId="52" fillId="0" borderId="0" xfId="0" applyFont="1" applyAlignment="1">
      <alignment horizontal="center" vertical="center"/>
    </xf>
    <xf numFmtId="193" fontId="72" fillId="0" borderId="0" xfId="0" applyNumberFormat="1" applyFont="1" applyAlignment="1">
      <alignment vertical="center"/>
    </xf>
    <xf numFmtId="0" fontId="72" fillId="0" borderId="0" xfId="0" applyFont="1" applyAlignment="1">
      <alignment vertical="center"/>
    </xf>
    <xf numFmtId="0" fontId="72" fillId="0" borderId="0" xfId="0" applyFont="1" applyAlignment="1">
      <alignment horizontal="center" vertical="center"/>
    </xf>
    <xf numFmtId="245" fontId="72" fillId="0" borderId="0" xfId="0" applyNumberFormat="1" applyFont="1" applyAlignment="1">
      <alignment vertical="center"/>
    </xf>
    <xf numFmtId="238" fontId="72" fillId="0" borderId="0" xfId="0" applyNumberFormat="1" applyFont="1" applyAlignment="1">
      <alignment vertical="center"/>
    </xf>
    <xf numFmtId="3" fontId="10" fillId="0" borderId="33" xfId="2" applyNumberFormat="1" applyFont="1" applyBorder="1" applyAlignment="1">
      <alignment horizontal="center" vertical="center"/>
    </xf>
    <xf numFmtId="167" fontId="10" fillId="0" borderId="1" xfId="3" applyNumberFormat="1" applyFont="1" applyBorder="1" applyAlignment="1">
      <alignment vertical="center" wrapText="1"/>
    </xf>
    <xf numFmtId="3" fontId="17" fillId="0" borderId="3" xfId="2" applyNumberFormat="1" applyFont="1" applyBorder="1" applyAlignment="1">
      <alignment horizontal="center" vertical="center"/>
    </xf>
    <xf numFmtId="3" fontId="103" fillId="0" borderId="0" xfId="0" applyNumberFormat="1" applyFont="1"/>
    <xf numFmtId="183" fontId="17" fillId="0" borderId="1" xfId="2" applyNumberFormat="1" applyFont="1" applyBorder="1" applyAlignment="1">
      <alignment horizontal="right" vertical="center"/>
    </xf>
    <xf numFmtId="176" fontId="47" fillId="0" borderId="0" xfId="11" applyNumberFormat="1" applyFont="1" applyFill="1" applyAlignment="1">
      <alignment vertical="center"/>
    </xf>
    <xf numFmtId="198" fontId="72" fillId="0" borderId="0" xfId="0" applyNumberFormat="1" applyFont="1" applyAlignment="1">
      <alignment vertical="center"/>
    </xf>
    <xf numFmtId="218" fontId="72" fillId="0" borderId="0" xfId="0" applyNumberFormat="1" applyFont="1" applyAlignment="1">
      <alignment vertical="center"/>
    </xf>
    <xf numFmtId="176" fontId="72" fillId="0" borderId="0" xfId="11" applyNumberFormat="1" applyFont="1" applyFill="1" applyAlignment="1">
      <alignment vertical="center"/>
    </xf>
    <xf numFmtId="218" fontId="47" fillId="0" borderId="0" xfId="0" applyNumberFormat="1" applyFont="1" applyAlignment="1">
      <alignment vertical="center"/>
    </xf>
    <xf numFmtId="244" fontId="47" fillId="0" borderId="0" xfId="0" applyNumberFormat="1" applyFont="1" applyAlignment="1">
      <alignment vertical="center"/>
    </xf>
    <xf numFmtId="176" fontId="50" fillId="0" borderId="0" xfId="11" applyNumberFormat="1" applyFont="1" applyFill="1" applyAlignment="1">
      <alignment vertical="center"/>
    </xf>
    <xf numFmtId="168" fontId="104" fillId="0" borderId="0" xfId="11" applyNumberFormat="1" applyFont="1" applyFill="1" applyAlignment="1">
      <alignment vertical="center"/>
    </xf>
    <xf numFmtId="202" fontId="50" fillId="0" borderId="0" xfId="0" applyNumberFormat="1" applyFont="1" applyAlignment="1">
      <alignment horizontal="center" vertical="center"/>
    </xf>
    <xf numFmtId="202" fontId="47" fillId="0" borderId="0" xfId="11" applyNumberFormat="1" applyFont="1" applyFill="1" applyBorder="1" applyAlignment="1">
      <alignment vertical="center" wrapText="1"/>
    </xf>
    <xf numFmtId="189" fontId="47" fillId="0" borderId="0" xfId="0" applyNumberFormat="1" applyFont="1" applyAlignment="1">
      <alignment vertical="center"/>
    </xf>
    <xf numFmtId="0" fontId="77" fillId="0" borderId="0" xfId="0" applyFont="1" applyAlignment="1">
      <alignment horizontal="center" vertical="center"/>
    </xf>
    <xf numFmtId="0" fontId="77" fillId="0" borderId="6" xfId="0" applyFont="1" applyBorder="1" applyAlignment="1">
      <alignment horizontal="center" vertical="center" wrapText="1"/>
    </xf>
    <xf numFmtId="0" fontId="47" fillId="0" borderId="8" xfId="0" applyFont="1" applyBorder="1" applyAlignment="1">
      <alignment horizontal="center" vertical="center" wrapText="1"/>
    </xf>
    <xf numFmtId="0" fontId="50" fillId="0" borderId="16" xfId="0" applyFont="1" applyBorder="1"/>
    <xf numFmtId="166" fontId="47" fillId="0" borderId="0" xfId="11" applyFont="1" applyAlignment="1"/>
    <xf numFmtId="199" fontId="47" fillId="0" borderId="0" xfId="0" applyNumberFormat="1" applyFont="1"/>
    <xf numFmtId="4" fontId="10" fillId="0" borderId="1" xfId="0" applyNumberFormat="1" applyFont="1" applyBorder="1" applyAlignment="1">
      <alignment vertical="center" wrapText="1"/>
    </xf>
    <xf numFmtId="197" fontId="47" fillId="0" borderId="0" xfId="11" applyNumberFormat="1" applyFont="1"/>
    <xf numFmtId="234" fontId="47" fillId="0" borderId="0" xfId="0" applyNumberFormat="1" applyFont="1"/>
    <xf numFmtId="166" fontId="10" fillId="0" borderId="1" xfId="11" applyFont="1" applyBorder="1" applyAlignment="1">
      <alignment horizontal="right" vertical="center" wrapText="1"/>
    </xf>
    <xf numFmtId="167" fontId="10" fillId="0" borderId="1" xfId="0" applyNumberFormat="1" applyFont="1" applyBorder="1" applyAlignment="1">
      <alignment vertical="center" wrapText="1"/>
    </xf>
    <xf numFmtId="0" fontId="11" fillId="0" borderId="0" xfId="0" applyFont="1" applyAlignment="1">
      <alignment vertical="center" wrapText="1"/>
    </xf>
    <xf numFmtId="166" fontId="11" fillId="0" borderId="0" xfId="11" applyFont="1" applyAlignment="1">
      <alignment vertical="center" wrapText="1"/>
    </xf>
    <xf numFmtId="166" fontId="11" fillId="0" borderId="0" xfId="11" applyFont="1" applyAlignment="1">
      <alignment horizontal="center" vertical="center" wrapText="1"/>
    </xf>
    <xf numFmtId="0" fontId="106" fillId="0" borderId="0" xfId="0" applyFont="1"/>
    <xf numFmtId="0" fontId="47" fillId="0" borderId="6" xfId="0" applyFont="1" applyBorder="1" applyAlignment="1">
      <alignment horizontal="left" vertical="center" wrapText="1"/>
    </xf>
    <xf numFmtId="0" fontId="47" fillId="0" borderId="7" xfId="0" applyFont="1" applyBorder="1" applyAlignment="1">
      <alignment horizontal="left" vertical="center" wrapText="1"/>
    </xf>
    <xf numFmtId="0" fontId="47" fillId="0" borderId="8" xfId="0" applyFont="1" applyBorder="1" applyAlignment="1">
      <alignment horizontal="left" vertical="center" wrapText="1"/>
    </xf>
    <xf numFmtId="165" fontId="17" fillId="0" borderId="9" xfId="10" applyFont="1" applyFill="1" applyBorder="1" applyAlignment="1">
      <alignment horizontal="right" vertical="center" wrapText="1"/>
    </xf>
    <xf numFmtId="177" fontId="17" fillId="3" borderId="9" xfId="10" applyNumberFormat="1" applyFont="1" applyFill="1" applyBorder="1" applyAlignment="1">
      <alignment horizontal="right" vertical="center" wrapText="1"/>
    </xf>
    <xf numFmtId="178" fontId="17" fillId="3" borderId="3" xfId="10" applyNumberFormat="1" applyFont="1" applyFill="1" applyBorder="1" applyAlignment="1">
      <alignment horizontal="right" vertical="center" wrapText="1"/>
    </xf>
    <xf numFmtId="0" fontId="17" fillId="0" borderId="8" xfId="0" applyFont="1" applyBorder="1" applyAlignment="1">
      <alignment horizontal="center" vertical="center" wrapText="1"/>
    </xf>
    <xf numFmtId="0" fontId="17" fillId="0" borderId="8" xfId="0" applyFont="1" applyBorder="1" applyAlignment="1">
      <alignment vertical="center" wrapText="1"/>
    </xf>
    <xf numFmtId="4" fontId="17" fillId="0" borderId="8" xfId="0" applyNumberFormat="1" applyFont="1" applyBorder="1" applyAlignment="1">
      <alignment horizontal="right" vertical="center" wrapText="1"/>
    </xf>
    <xf numFmtId="167" fontId="17" fillId="0" borderId="8" xfId="10" applyNumberFormat="1" applyFont="1" applyFill="1" applyBorder="1" applyAlignment="1">
      <alignment horizontal="right" vertical="center" wrapText="1"/>
    </xf>
    <xf numFmtId="174" fontId="38" fillId="0" borderId="0" xfId="0" applyNumberFormat="1" applyFont="1" applyAlignment="1">
      <alignment vertical="center"/>
    </xf>
    <xf numFmtId="221" fontId="38" fillId="0" borderId="16" xfId="0" applyNumberFormat="1" applyFont="1" applyBorder="1" applyAlignment="1">
      <alignment horizontal="right" vertical="center" wrapText="1"/>
    </xf>
    <xf numFmtId="241" fontId="47" fillId="0" borderId="0" xfId="0" applyNumberFormat="1" applyFont="1"/>
    <xf numFmtId="0" fontId="107" fillId="0" borderId="0" xfId="0" applyFont="1"/>
    <xf numFmtId="0" fontId="48" fillId="0" borderId="0" xfId="0" applyFont="1" applyAlignment="1">
      <alignment horizontal="center" vertical="center"/>
    </xf>
    <xf numFmtId="168" fontId="17" fillId="0" borderId="0" xfId="0" applyNumberFormat="1" applyFont="1"/>
    <xf numFmtId="0" fontId="85" fillId="0" borderId="0" xfId="0" applyFont="1"/>
    <xf numFmtId="3" fontId="50" fillId="0" borderId="9" xfId="0" applyNumberFormat="1" applyFont="1" applyBorder="1" applyAlignment="1">
      <alignment horizontal="right" vertical="center" wrapText="1"/>
    </xf>
    <xf numFmtId="167" fontId="47" fillId="0" borderId="15" xfId="11" applyNumberFormat="1" applyFont="1" applyBorder="1" applyAlignment="1">
      <alignment horizontal="right" vertical="center" wrapText="1"/>
    </xf>
    <xf numFmtId="166" fontId="17" fillId="0" borderId="7" xfId="11" applyFont="1" applyBorder="1" applyAlignment="1">
      <alignment horizontal="right" vertical="center" wrapText="1"/>
    </xf>
    <xf numFmtId="0" fontId="110" fillId="0" borderId="1" xfId="0" applyFont="1" applyBorder="1" applyAlignment="1">
      <alignment vertical="center"/>
    </xf>
    <xf numFmtId="177" fontId="83" fillId="0" borderId="0" xfId="10" applyNumberFormat="1" applyFont="1" applyFill="1"/>
    <xf numFmtId="182" fontId="50" fillId="0" borderId="1" xfId="0" applyNumberFormat="1" applyFont="1" applyBorder="1" applyAlignment="1">
      <alignment horizontal="center" vertical="center" wrapText="1"/>
    </xf>
    <xf numFmtId="182" fontId="47" fillId="0" borderId="1" xfId="0" applyNumberFormat="1" applyFont="1" applyBorder="1" applyAlignment="1">
      <alignment horizontal="center" vertical="center" wrapText="1"/>
    </xf>
    <xf numFmtId="182" fontId="47" fillId="0" borderId="1" xfId="10" applyNumberFormat="1" applyFont="1" applyFill="1" applyBorder="1" applyAlignment="1">
      <alignment horizontal="center" vertical="center" wrapText="1"/>
    </xf>
    <xf numFmtId="182" fontId="50" fillId="0" borderId="1" xfId="0" applyNumberFormat="1" applyFont="1" applyBorder="1" applyAlignment="1">
      <alignment horizontal="center" vertical="center"/>
    </xf>
    <xf numFmtId="182" fontId="47" fillId="0" borderId="6" xfId="0" applyNumberFormat="1" applyFont="1" applyBorder="1" applyAlignment="1">
      <alignment horizontal="left" vertical="center"/>
    </xf>
    <xf numFmtId="166" fontId="106" fillId="0" borderId="0" xfId="11" applyFont="1" applyFill="1"/>
    <xf numFmtId="182" fontId="47" fillId="0" borderId="7" xfId="0" applyNumberFormat="1" applyFont="1" applyBorder="1" applyAlignment="1">
      <alignment horizontal="left" vertical="center"/>
    </xf>
    <xf numFmtId="182" fontId="47" fillId="0" borderId="7" xfId="0" applyNumberFormat="1" applyFont="1" applyBorder="1"/>
    <xf numFmtId="3" fontId="112" fillId="0" borderId="0" xfId="0" applyNumberFormat="1" applyFont="1" applyAlignment="1">
      <alignment vertical="center"/>
    </xf>
    <xf numFmtId="0" fontId="112" fillId="0" borderId="0" xfId="0" applyFont="1" applyAlignment="1">
      <alignment vertical="center"/>
    </xf>
    <xf numFmtId="219" fontId="112" fillId="0" borderId="0" xfId="0" applyNumberFormat="1" applyFont="1" applyAlignment="1">
      <alignment vertical="center"/>
    </xf>
    <xf numFmtId="171" fontId="47" fillId="0" borderId="0" xfId="11" applyNumberFormat="1" applyFont="1"/>
    <xf numFmtId="0" fontId="111" fillId="25" borderId="36" xfId="0" applyFont="1" applyFill="1" applyBorder="1" applyAlignment="1">
      <alignment horizontal="right" vertical="center" wrapText="1"/>
    </xf>
    <xf numFmtId="0" fontId="111" fillId="25" borderId="37" xfId="0" applyFont="1" applyFill="1" applyBorder="1" applyAlignment="1">
      <alignment horizontal="right" vertical="center" wrapText="1"/>
    </xf>
    <xf numFmtId="167" fontId="50" fillId="0" borderId="1" xfId="10" applyNumberFormat="1" applyFont="1" applyFill="1" applyBorder="1" applyAlignment="1">
      <alignment horizontal="right" vertical="center" wrapText="1"/>
    </xf>
    <xf numFmtId="0" fontId="17" fillId="3" borderId="9" xfId="0" applyFont="1" applyFill="1" applyBorder="1" applyAlignment="1">
      <alignment horizontal="center" vertical="center" wrapText="1"/>
    </xf>
    <xf numFmtId="0" fontId="17" fillId="3" borderId="9" xfId="0" applyFont="1" applyFill="1" applyBorder="1" applyAlignment="1">
      <alignment vertical="center" wrapText="1"/>
    </xf>
    <xf numFmtId="0" fontId="17" fillId="3" borderId="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7" fillId="3" borderId="0" xfId="0" applyFont="1" applyFill="1"/>
    <xf numFmtId="181" fontId="17" fillId="3" borderId="0" xfId="0" applyNumberFormat="1" applyFont="1" applyFill="1"/>
    <xf numFmtId="177" fontId="17" fillId="3" borderId="0" xfId="10" applyNumberFormat="1" applyFont="1" applyFill="1"/>
    <xf numFmtId="165" fontId="17" fillId="0" borderId="0" xfId="10" applyFont="1" applyFill="1" applyAlignment="1">
      <alignment horizontal="center" vertical="center"/>
    </xf>
    <xf numFmtId="178" fontId="17" fillId="0" borderId="0" xfId="10" applyNumberFormat="1" applyFont="1" applyFill="1" applyAlignment="1">
      <alignment horizontal="center" vertical="center"/>
    </xf>
    <xf numFmtId="174" fontId="10" fillId="3" borderId="1" xfId="10" applyNumberFormat="1" applyFont="1" applyFill="1" applyBorder="1" applyAlignment="1">
      <alignment horizontal="center" vertical="center" wrapText="1"/>
    </xf>
    <xf numFmtId="167" fontId="17" fillId="3" borderId="0" xfId="0" applyNumberFormat="1" applyFont="1" applyFill="1"/>
    <xf numFmtId="200" fontId="17" fillId="3" borderId="0" xfId="0" applyNumberFormat="1" applyFont="1" applyFill="1"/>
    <xf numFmtId="165" fontId="17" fillId="0" borderId="13" xfId="10" applyFont="1" applyFill="1" applyBorder="1" applyAlignment="1">
      <alignment vertical="center"/>
    </xf>
    <xf numFmtId="178" fontId="17" fillId="0" borderId="13" xfId="10" applyNumberFormat="1" applyFont="1" applyFill="1" applyBorder="1" applyAlignment="1">
      <alignment vertical="center"/>
    </xf>
    <xf numFmtId="0" fontId="17" fillId="3" borderId="1" xfId="0" applyFont="1" applyFill="1" applyBorder="1" applyAlignment="1">
      <alignment horizontal="center" vertical="center" wrapText="1"/>
    </xf>
    <xf numFmtId="174" fontId="17" fillId="3" borderId="1" xfId="10" applyNumberFormat="1" applyFont="1" applyFill="1" applyBorder="1" applyAlignment="1">
      <alignment horizontal="center" vertical="center" wrapText="1"/>
    </xf>
    <xf numFmtId="43" fontId="17" fillId="3" borderId="0" xfId="0" applyNumberFormat="1" applyFont="1" applyFill="1"/>
    <xf numFmtId="3" fontId="17" fillId="0" borderId="21" xfId="0" applyNumberFormat="1" applyFont="1" applyBorder="1" applyAlignment="1">
      <alignment horizontal="center" vertical="center" wrapText="1"/>
    </xf>
    <xf numFmtId="3" fontId="17" fillId="26" borderId="21"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 xfId="0" applyFont="1" applyFill="1" applyBorder="1" applyAlignment="1">
      <alignment horizontal="justify" vertical="center" wrapText="1"/>
    </xf>
    <xf numFmtId="167" fontId="17" fillId="3" borderId="16" xfId="0" applyNumberFormat="1" applyFont="1" applyFill="1" applyBorder="1"/>
    <xf numFmtId="177" fontId="17" fillId="3" borderId="1" xfId="10" applyNumberFormat="1" applyFont="1" applyFill="1" applyBorder="1" applyAlignment="1">
      <alignment horizontal="center" vertical="center"/>
    </xf>
    <xf numFmtId="177" fontId="17" fillId="3" borderId="21" xfId="10" applyNumberFormat="1" applyFont="1" applyFill="1" applyBorder="1" applyAlignment="1">
      <alignment horizontal="center" vertical="center"/>
    </xf>
    <xf numFmtId="165" fontId="17" fillId="0" borderId="21" xfId="10" applyFont="1" applyFill="1" applyBorder="1" applyAlignment="1">
      <alignment horizontal="center" vertical="center"/>
    </xf>
    <xf numFmtId="165" fontId="17" fillId="0" borderId="1" xfId="10" applyFont="1" applyFill="1" applyBorder="1" applyAlignment="1">
      <alignment horizontal="center" vertical="center"/>
    </xf>
    <xf numFmtId="178" fontId="17" fillId="0" borderId="21" xfId="10" applyNumberFormat="1" applyFont="1" applyFill="1" applyBorder="1" applyAlignment="1">
      <alignment horizontal="center" vertical="center"/>
    </xf>
    <xf numFmtId="193" fontId="17" fillId="3" borderId="16" xfId="0" applyNumberFormat="1" applyFont="1" applyFill="1" applyBorder="1"/>
    <xf numFmtId="167" fontId="17" fillId="3" borderId="1" xfId="0" applyNumberFormat="1" applyFont="1" applyFill="1" applyBorder="1"/>
    <xf numFmtId="193" fontId="17" fillId="3" borderId="16" xfId="11" applyNumberFormat="1" applyFont="1" applyFill="1" applyBorder="1"/>
    <xf numFmtId="177" fontId="17" fillId="3" borderId="21" xfId="10" applyNumberFormat="1" applyFont="1" applyFill="1" applyBorder="1"/>
    <xf numFmtId="4" fontId="17" fillId="0" borderId="1" xfId="10" applyNumberFormat="1" applyFont="1" applyFill="1" applyBorder="1" applyAlignment="1">
      <alignment horizontal="center" vertical="center"/>
    </xf>
    <xf numFmtId="193" fontId="17" fillId="0" borderId="16" xfId="11" applyNumberFormat="1" applyFont="1" applyFill="1" applyBorder="1"/>
    <xf numFmtId="177" fontId="17" fillId="0" borderId="21" xfId="10" applyNumberFormat="1" applyFont="1" applyFill="1" applyBorder="1"/>
    <xf numFmtId="176" fontId="17" fillId="3" borderId="16" xfId="11" applyNumberFormat="1" applyFont="1" applyFill="1" applyBorder="1"/>
    <xf numFmtId="0" fontId="17" fillId="27" borderId="7" xfId="0" applyFont="1" applyFill="1" applyBorder="1" applyAlignment="1">
      <alignment horizontal="justify" vertical="center" wrapText="1"/>
    </xf>
    <xf numFmtId="176" fontId="17" fillId="27" borderId="16" xfId="11" applyNumberFormat="1" applyFont="1" applyFill="1" applyBorder="1"/>
    <xf numFmtId="167" fontId="17" fillId="27" borderId="1" xfId="0" applyNumberFormat="1" applyFont="1" applyFill="1" applyBorder="1"/>
    <xf numFmtId="177" fontId="17" fillId="27" borderId="21" xfId="10" applyNumberFormat="1" applyFont="1" applyFill="1" applyBorder="1"/>
    <xf numFmtId="165" fontId="17" fillId="27" borderId="21" xfId="10" applyFont="1" applyFill="1" applyBorder="1" applyAlignment="1">
      <alignment horizontal="center" vertical="center"/>
    </xf>
    <xf numFmtId="165" fontId="17" fillId="27" borderId="1" xfId="10" applyFont="1" applyFill="1" applyBorder="1" applyAlignment="1">
      <alignment horizontal="center" vertical="center"/>
    </xf>
    <xf numFmtId="4" fontId="17" fillId="27" borderId="1" xfId="10" applyNumberFormat="1" applyFont="1" applyFill="1" applyBorder="1" applyAlignment="1">
      <alignment horizontal="center" vertical="center"/>
    </xf>
    <xf numFmtId="0" fontId="17" fillId="27" borderId="0" xfId="0" applyFont="1" applyFill="1"/>
    <xf numFmtId="177" fontId="17" fillId="3" borderId="1" xfId="0" applyNumberFormat="1" applyFont="1" applyFill="1" applyBorder="1"/>
    <xf numFmtId="174" fontId="17" fillId="0" borderId="21" xfId="10" applyNumberFormat="1" applyFont="1" applyFill="1" applyBorder="1" applyAlignment="1">
      <alignment horizontal="center" vertical="center" wrapText="1"/>
    </xf>
    <xf numFmtId="174" fontId="17" fillId="0" borderId="1" xfId="10" applyNumberFormat="1" applyFont="1" applyFill="1" applyBorder="1" applyAlignment="1">
      <alignment horizontal="center" vertical="center" wrapText="1"/>
    </xf>
    <xf numFmtId="165" fontId="17" fillId="0" borderId="21" xfId="10" applyFont="1" applyFill="1" applyBorder="1" applyAlignment="1">
      <alignment horizontal="center" vertical="center" wrapText="1"/>
    </xf>
    <xf numFmtId="4" fontId="17" fillId="0" borderId="1" xfId="10" applyNumberFormat="1" applyFont="1" applyFill="1" applyBorder="1" applyAlignment="1">
      <alignment horizontal="center" vertical="center" wrapText="1"/>
    </xf>
    <xf numFmtId="177" fontId="17" fillId="3" borderId="1" xfId="10" applyNumberFormat="1" applyFont="1" applyFill="1" applyBorder="1"/>
    <xf numFmtId="165" fontId="17" fillId="0" borderId="1" xfId="10" applyFont="1" applyFill="1" applyBorder="1" applyAlignment="1">
      <alignment horizontal="center" vertical="center" wrapText="1"/>
    </xf>
    <xf numFmtId="0" fontId="17" fillId="0" borderId="16" xfId="0" applyFont="1" applyBorder="1"/>
    <xf numFmtId="177" fontId="17" fillId="0" borderId="16" xfId="0" applyNumberFormat="1" applyFont="1" applyBorder="1"/>
    <xf numFmtId="177" fontId="17" fillId="0" borderId="1" xfId="0" applyNumberFormat="1" applyFont="1" applyBorder="1"/>
    <xf numFmtId="182" fontId="17" fillId="0" borderId="1" xfId="10" applyNumberFormat="1" applyFont="1" applyFill="1" applyBorder="1" applyAlignment="1">
      <alignment horizontal="center" vertical="center"/>
    </xf>
    <xf numFmtId="230" fontId="17" fillId="0" borderId="0" xfId="0" applyNumberFormat="1" applyFont="1"/>
    <xf numFmtId="210" fontId="17" fillId="0" borderId="0" xfId="11" applyNumberFormat="1" applyFont="1" applyFill="1"/>
    <xf numFmtId="237" fontId="17" fillId="0" borderId="16" xfId="0" applyNumberFormat="1" applyFont="1" applyBorder="1"/>
    <xf numFmtId="165" fontId="17" fillId="0" borderId="1" xfId="10" applyFont="1" applyFill="1" applyBorder="1" applyAlignment="1">
      <alignment vertical="center"/>
    </xf>
    <xf numFmtId="165" fontId="17" fillId="0" borderId="0" xfId="0" applyNumberFormat="1" applyFont="1"/>
    <xf numFmtId="217" fontId="17" fillId="0" borderId="0" xfId="0" applyNumberFormat="1" applyFont="1"/>
    <xf numFmtId="177" fontId="17" fillId="3" borderId="1" xfId="0" applyNumberFormat="1" applyFont="1" applyFill="1" applyBorder="1" applyAlignment="1">
      <alignment vertical="center"/>
    </xf>
    <xf numFmtId="177" fontId="17" fillId="0" borderId="21" xfId="10" applyNumberFormat="1" applyFont="1" applyFill="1" applyBorder="1" applyAlignment="1">
      <alignment vertical="center"/>
    </xf>
    <xf numFmtId="178" fontId="17" fillId="0" borderId="21" xfId="10" applyNumberFormat="1" applyFont="1" applyFill="1" applyBorder="1" applyAlignment="1">
      <alignment horizontal="center" vertical="center" wrapText="1"/>
    </xf>
    <xf numFmtId="165" fontId="17" fillId="0" borderId="1" xfId="10" applyFont="1" applyFill="1" applyBorder="1" applyAlignment="1">
      <alignment vertical="center" wrapText="1"/>
    </xf>
    <xf numFmtId="212" fontId="17" fillId="0" borderId="0" xfId="11" applyNumberFormat="1" applyFont="1" applyFill="1" applyAlignment="1">
      <alignment vertical="center"/>
    </xf>
    <xf numFmtId="167" fontId="17" fillId="3" borderId="7" xfId="0" applyNumberFormat="1" applyFont="1" applyFill="1" applyBorder="1"/>
    <xf numFmtId="167" fontId="17" fillId="0" borderId="7" xfId="0" applyNumberFormat="1" applyFont="1" applyBorder="1"/>
    <xf numFmtId="193" fontId="17" fillId="3" borderId="0" xfId="0" applyNumberFormat="1" applyFont="1" applyFill="1"/>
    <xf numFmtId="212" fontId="17" fillId="3" borderId="0" xfId="11" applyNumberFormat="1" applyFont="1" applyFill="1"/>
    <xf numFmtId="243" fontId="17" fillId="3" borderId="0" xfId="0" applyNumberFormat="1" applyFont="1" applyFill="1"/>
    <xf numFmtId="242" fontId="17" fillId="3" borderId="0" xfId="0" applyNumberFormat="1" applyFont="1" applyFill="1"/>
    <xf numFmtId="204" fontId="17" fillId="3" borderId="0" xfId="0" applyNumberFormat="1" applyFont="1" applyFill="1"/>
    <xf numFmtId="185" fontId="17" fillId="3" borderId="0" xfId="0" applyNumberFormat="1" applyFont="1" applyFill="1"/>
    <xf numFmtId="167" fontId="17" fillId="3" borderId="8" xfId="0" applyNumberFormat="1" applyFont="1" applyFill="1" applyBorder="1"/>
    <xf numFmtId="167" fontId="17" fillId="0" borderId="8" xfId="0" applyNumberFormat="1" applyFont="1" applyBorder="1"/>
    <xf numFmtId="224" fontId="17" fillId="3" borderId="0" xfId="0" applyNumberFormat="1" applyFont="1" applyFill="1"/>
    <xf numFmtId="166" fontId="17" fillId="3" borderId="0" xfId="11" applyFont="1" applyFill="1"/>
    <xf numFmtId="241" fontId="17" fillId="3" borderId="0" xfId="0" applyNumberFormat="1" applyFont="1" applyFill="1"/>
    <xf numFmtId="174" fontId="17" fillId="3" borderId="0" xfId="10" applyNumberFormat="1" applyFont="1" applyFill="1"/>
    <xf numFmtId="225" fontId="17" fillId="3" borderId="0" xfId="0" applyNumberFormat="1" applyFont="1" applyFill="1"/>
    <xf numFmtId="240" fontId="17" fillId="3" borderId="0" xfId="0" applyNumberFormat="1" applyFont="1" applyFill="1"/>
    <xf numFmtId="211" fontId="50" fillId="0" borderId="0" xfId="0" applyNumberFormat="1" applyFont="1"/>
    <xf numFmtId="186" fontId="17" fillId="0" borderId="0" xfId="0" applyNumberFormat="1" applyFont="1"/>
    <xf numFmtId="206" fontId="17" fillId="0" borderId="0" xfId="0" applyNumberFormat="1" applyFont="1"/>
    <xf numFmtId="207" fontId="17" fillId="0" borderId="0" xfId="0" applyNumberFormat="1" applyFont="1"/>
    <xf numFmtId="204" fontId="17" fillId="0" borderId="0" xfId="0" applyNumberFormat="1" applyFont="1"/>
    <xf numFmtId="0" fontId="47" fillId="0" borderId="8" xfId="61" applyFont="1" applyBorder="1" applyAlignment="1">
      <alignment horizontal="justify" vertical="center" wrapText="1"/>
    </xf>
    <xf numFmtId="205" fontId="48" fillId="0" borderId="0" xfId="0" applyNumberFormat="1" applyFont="1"/>
    <xf numFmtId="0" fontId="47" fillId="0" borderId="7" xfId="61" applyFont="1" applyBorder="1" applyAlignment="1">
      <alignment horizontal="justify" vertical="center" wrapText="1"/>
    </xf>
    <xf numFmtId="167" fontId="37" fillId="0" borderId="1" xfId="0" applyNumberFormat="1" applyFont="1" applyBorder="1" applyAlignment="1">
      <alignment horizontal="center" vertical="center" wrapText="1"/>
    </xf>
    <xf numFmtId="0" fontId="37" fillId="0" borderId="7" xfId="0" applyFont="1" applyBorder="1" applyAlignment="1">
      <alignment horizontal="justify" vertical="center" wrapText="1"/>
    </xf>
    <xf numFmtId="169" fontId="37" fillId="0" borderId="1" xfId="103" applyNumberFormat="1" applyFont="1" applyBorder="1" applyAlignment="1">
      <alignment horizontal="right" vertical="center" wrapText="1"/>
    </xf>
    <xf numFmtId="0" fontId="39" fillId="0" borderId="7" xfId="0" applyFont="1" applyBorder="1" applyAlignment="1">
      <alignment horizontal="justify" vertical="center" wrapText="1"/>
    </xf>
    <xf numFmtId="196" fontId="37" fillId="0" borderId="0" xfId="0" applyNumberFormat="1" applyFont="1"/>
    <xf numFmtId="208" fontId="37" fillId="0" borderId="0" xfId="0" applyNumberFormat="1" applyFont="1"/>
    <xf numFmtId="208" fontId="37" fillId="0" borderId="0" xfId="11" applyNumberFormat="1" applyFont="1"/>
    <xf numFmtId="208" fontId="38" fillId="0" borderId="0" xfId="11" applyNumberFormat="1" applyFont="1"/>
    <xf numFmtId="2" fontId="37" fillId="0" borderId="0" xfId="0" applyNumberFormat="1" applyFont="1"/>
    <xf numFmtId="195" fontId="37" fillId="0" borderId="0" xfId="0" applyNumberFormat="1" applyFont="1"/>
    <xf numFmtId="176" fontId="37" fillId="3" borderId="0" xfId="11" applyNumberFormat="1" applyFont="1" applyFill="1"/>
    <xf numFmtId="0" fontId="37" fillId="3" borderId="0" xfId="0" applyFont="1" applyFill="1"/>
    <xf numFmtId="167" fontId="51" fillId="0" borderId="1" xfId="0" applyNumberFormat="1" applyFont="1" applyBorder="1" applyAlignment="1">
      <alignment horizontal="center" vertical="center" wrapText="1"/>
    </xf>
    <xf numFmtId="167" fontId="51" fillId="0" borderId="1" xfId="10" applyNumberFormat="1" applyFont="1" applyFill="1" applyBorder="1" applyAlignment="1">
      <alignment horizontal="center" vertical="center" wrapText="1"/>
    </xf>
    <xf numFmtId="174" fontId="38" fillId="0" borderId="0" xfId="10" applyNumberFormat="1" applyFont="1"/>
    <xf numFmtId="174" fontId="38" fillId="0" borderId="0" xfId="10" applyNumberFormat="1" applyFont="1" applyFill="1"/>
    <xf numFmtId="0" fontId="37" fillId="0" borderId="0" xfId="0" applyFont="1" applyAlignment="1">
      <alignment horizontal="right" vertical="center"/>
    </xf>
    <xf numFmtId="0" fontId="39" fillId="0" borderId="0" xfId="0" applyFont="1" applyAlignment="1">
      <alignment horizontal="right" vertical="center"/>
    </xf>
    <xf numFmtId="4" fontId="115" fillId="0" borderId="0" xfId="0" applyNumberFormat="1" applyFont="1"/>
    <xf numFmtId="167" fontId="37" fillId="0" borderId="1" xfId="10" applyNumberFormat="1" applyFont="1" applyBorder="1" applyAlignment="1">
      <alignment horizontal="right" vertical="center" wrapText="1"/>
    </xf>
    <xf numFmtId="166" fontId="37" fillId="0" borderId="0" xfId="0" applyNumberFormat="1" applyFont="1"/>
    <xf numFmtId="43" fontId="37" fillId="0" borderId="0" xfId="0" applyNumberFormat="1" applyFont="1"/>
    <xf numFmtId="208" fontId="86" fillId="0" borderId="0" xfId="11" applyNumberFormat="1" applyFont="1"/>
    <xf numFmtId="167" fontId="86" fillId="0" borderId="0" xfId="0" applyNumberFormat="1" applyFont="1"/>
    <xf numFmtId="0" fontId="86" fillId="0" borderId="0" xfId="0" applyFont="1"/>
    <xf numFmtId="173" fontId="86" fillId="0" borderId="0" xfId="0" applyNumberFormat="1" applyFont="1"/>
    <xf numFmtId="186" fontId="37" fillId="0" borderId="0" xfId="11" applyNumberFormat="1" applyFont="1"/>
    <xf numFmtId="212" fontId="38" fillId="0" borderId="0" xfId="11" applyNumberFormat="1" applyFont="1"/>
    <xf numFmtId="213" fontId="38" fillId="0" borderId="0" xfId="11" applyNumberFormat="1" applyFont="1"/>
    <xf numFmtId="164" fontId="38" fillId="0" borderId="0" xfId="0" applyNumberFormat="1" applyFont="1"/>
    <xf numFmtId="204" fontId="38" fillId="0" borderId="0" xfId="0" applyNumberFormat="1" applyFont="1"/>
    <xf numFmtId="208" fontId="116" fillId="0" borderId="0" xfId="11" applyNumberFormat="1" applyFont="1"/>
    <xf numFmtId="173" fontId="116" fillId="0" borderId="0" xfId="0" applyNumberFormat="1" applyFont="1"/>
    <xf numFmtId="164" fontId="116" fillId="0" borderId="0" xfId="0" applyNumberFormat="1" applyFont="1"/>
    <xf numFmtId="0" fontId="116" fillId="0" borderId="0" xfId="0" applyFont="1"/>
    <xf numFmtId="167" fontId="38" fillId="0" borderId="6" xfId="0" applyNumberFormat="1" applyFont="1" applyBorder="1" applyAlignment="1">
      <alignment horizontal="right" vertical="center" wrapText="1"/>
    </xf>
    <xf numFmtId="184" fontId="86" fillId="0" borderId="0" xfId="11" applyNumberFormat="1" applyFont="1" applyFill="1"/>
    <xf numFmtId="205" fontId="86" fillId="0" borderId="0" xfId="0" applyNumberFormat="1" applyFont="1"/>
    <xf numFmtId="184" fontId="38" fillId="0" borderId="0" xfId="11" applyNumberFormat="1" applyFont="1" applyFill="1"/>
    <xf numFmtId="176" fontId="86" fillId="0" borderId="0" xfId="11" applyNumberFormat="1" applyFont="1" applyFill="1"/>
    <xf numFmtId="175" fontId="86" fillId="0" borderId="0" xfId="0" applyNumberFormat="1" applyFont="1"/>
    <xf numFmtId="188" fontId="86" fillId="0" borderId="0" xfId="0" applyNumberFormat="1" applyFont="1"/>
    <xf numFmtId="176" fontId="116" fillId="0" borderId="0" xfId="11" applyNumberFormat="1" applyFont="1" applyFill="1"/>
    <xf numFmtId="176" fontId="116" fillId="0" borderId="0" xfId="11" applyNumberFormat="1" applyFont="1"/>
    <xf numFmtId="212" fontId="116" fillId="0" borderId="0" xfId="11" applyNumberFormat="1" applyFont="1"/>
    <xf numFmtId="0" fontId="109" fillId="0" borderId="0" xfId="0" applyFont="1"/>
    <xf numFmtId="167" fontId="50" fillId="0" borderId="1" xfId="10" applyNumberFormat="1" applyFont="1" applyBorder="1" applyAlignment="1">
      <alignment horizontal="center" vertical="center" wrapText="1"/>
    </xf>
    <xf numFmtId="167" fontId="50" fillId="0" borderId="2" xfId="0" applyNumberFormat="1" applyFont="1" applyBorder="1" applyAlignment="1">
      <alignment horizontal="right" vertical="center" wrapText="1"/>
    </xf>
    <xf numFmtId="167" fontId="50" fillId="0" borderId="2" xfId="10" applyNumberFormat="1" applyFont="1" applyFill="1" applyBorder="1" applyAlignment="1">
      <alignment horizontal="right" vertical="center" wrapText="1"/>
    </xf>
    <xf numFmtId="167" fontId="50" fillId="0" borderId="1" xfId="10" applyNumberFormat="1" applyFont="1" applyBorder="1" applyAlignment="1">
      <alignment horizontal="right" vertical="center" wrapText="1"/>
    </xf>
    <xf numFmtId="167" fontId="77" fillId="0" borderId="9" xfId="10" applyNumberFormat="1" applyFont="1" applyBorder="1" applyAlignment="1">
      <alignment horizontal="right" vertical="center" wrapText="1"/>
    </xf>
    <xf numFmtId="167" fontId="77" fillId="0" borderId="9" xfId="10" applyNumberFormat="1" applyFont="1" applyFill="1" applyBorder="1" applyAlignment="1">
      <alignment horizontal="right" vertical="center" wrapText="1"/>
    </xf>
    <xf numFmtId="167" fontId="77" fillId="0" borderId="7" xfId="10" applyNumberFormat="1" applyFont="1" applyBorder="1" applyAlignment="1">
      <alignment horizontal="right" vertical="center" wrapText="1"/>
    </xf>
    <xf numFmtId="167" fontId="77" fillId="0" borderId="7" xfId="10" applyNumberFormat="1" applyFont="1" applyFill="1" applyBorder="1" applyAlignment="1">
      <alignment horizontal="right" vertical="center" wrapText="1"/>
    </xf>
    <xf numFmtId="167" fontId="77" fillId="0" borderId="15" xfId="10" applyNumberFormat="1" applyFont="1" applyBorder="1" applyAlignment="1">
      <alignment horizontal="right" vertical="center" wrapText="1"/>
    </xf>
    <xf numFmtId="167" fontId="77" fillId="0" borderId="15" xfId="10" applyNumberFormat="1" applyFont="1" applyFill="1" applyBorder="1" applyAlignment="1">
      <alignment horizontal="right" vertical="center" wrapText="1"/>
    </xf>
    <xf numFmtId="0" fontId="55" fillId="0" borderId="9" xfId="0" applyFont="1" applyBorder="1" applyAlignment="1">
      <alignment horizontal="justify" vertical="center" wrapText="1"/>
    </xf>
    <xf numFmtId="167" fontId="47" fillId="0" borderId="9" xfId="10" applyNumberFormat="1" applyFont="1" applyBorder="1" applyAlignment="1">
      <alignment horizontal="right" vertical="center" wrapText="1"/>
    </xf>
    <xf numFmtId="167" fontId="47" fillId="0" borderId="9" xfId="10" applyNumberFormat="1" applyFont="1" applyFill="1" applyBorder="1" applyAlignment="1">
      <alignment horizontal="right" vertical="center" wrapText="1"/>
    </xf>
    <xf numFmtId="167" fontId="47" fillId="0" borderId="15" xfId="10" applyNumberFormat="1" applyFont="1" applyBorder="1" applyAlignment="1">
      <alignment horizontal="right" vertical="center" wrapText="1"/>
    </xf>
    <xf numFmtId="167" fontId="47" fillId="0" borderId="15" xfId="10" applyNumberFormat="1" applyFont="1" applyFill="1" applyBorder="1" applyAlignment="1">
      <alignment horizontal="right" vertical="center" wrapText="1"/>
    </xf>
    <xf numFmtId="167" fontId="47" fillId="0" borderId="1" xfId="10" applyNumberFormat="1" applyFont="1" applyBorder="1" applyAlignment="1">
      <alignment horizontal="right" vertical="center" wrapText="1"/>
    </xf>
    <xf numFmtId="167" fontId="77" fillId="0" borderId="6" xfId="10" applyNumberFormat="1" applyFont="1" applyFill="1" applyBorder="1" applyAlignment="1">
      <alignment horizontal="right" vertical="center" wrapText="1"/>
    </xf>
    <xf numFmtId="167" fontId="47" fillId="0" borderId="7" xfId="10" applyNumberFormat="1" applyFont="1" applyFill="1" applyBorder="1" applyAlignment="1">
      <alignment horizontal="right" vertical="center" wrapText="1"/>
    </xf>
    <xf numFmtId="167" fontId="50" fillId="0" borderId="7" xfId="10" applyNumberFormat="1" applyFont="1" applyFill="1" applyBorder="1" applyAlignment="1">
      <alignment horizontal="right" vertical="center" wrapText="1"/>
    </xf>
    <xf numFmtId="167" fontId="47" fillId="0" borderId="8" xfId="10" applyNumberFormat="1" applyFont="1" applyFill="1" applyBorder="1" applyAlignment="1">
      <alignment horizontal="right" vertical="center" wrapText="1"/>
    </xf>
    <xf numFmtId="167" fontId="47" fillId="0" borderId="3" xfId="10" applyNumberFormat="1" applyFont="1" applyBorder="1" applyAlignment="1">
      <alignment horizontal="right" vertical="center" wrapText="1"/>
    </xf>
    <xf numFmtId="167" fontId="47" fillId="0" borderId="3" xfId="10" applyNumberFormat="1" applyFont="1" applyFill="1" applyBorder="1" applyAlignment="1">
      <alignment horizontal="right" vertical="center" wrapText="1"/>
    </xf>
    <xf numFmtId="3" fontId="47" fillId="0" borderId="6" xfId="0" applyNumberFormat="1" applyFont="1" applyBorder="1" applyAlignment="1">
      <alignment horizontal="justify" vertical="center" wrapText="1"/>
    </xf>
    <xf numFmtId="167" fontId="47" fillId="0" borderId="6" xfId="10" applyNumberFormat="1" applyFont="1" applyBorder="1" applyAlignment="1">
      <alignment horizontal="right" vertical="center" wrapText="1"/>
    </xf>
    <xf numFmtId="167" fontId="50" fillId="0" borderId="6" xfId="10" applyNumberFormat="1" applyFont="1" applyFill="1" applyBorder="1" applyAlignment="1">
      <alignment horizontal="right" vertical="center" wrapText="1"/>
    </xf>
    <xf numFmtId="167" fontId="47" fillId="0" borderId="6" xfId="10" applyNumberFormat="1" applyFont="1" applyFill="1" applyBorder="1" applyAlignment="1">
      <alignment horizontal="right" vertical="center" wrapText="1"/>
    </xf>
    <xf numFmtId="167" fontId="47" fillId="0" borderId="7" xfId="10" applyNumberFormat="1" applyFont="1" applyFill="1" applyBorder="1" applyAlignment="1">
      <alignment horizontal="center" vertical="center" wrapText="1"/>
    </xf>
    <xf numFmtId="167" fontId="47" fillId="0" borderId="7" xfId="10" applyNumberFormat="1" applyFont="1" applyBorder="1" applyAlignment="1">
      <alignment horizontal="center" vertical="center" wrapText="1"/>
    </xf>
    <xf numFmtId="167" fontId="47" fillId="0" borderId="7" xfId="10" applyNumberFormat="1" applyFont="1" applyBorder="1" applyAlignment="1">
      <alignment horizontal="right" vertical="center" wrapText="1"/>
    </xf>
    <xf numFmtId="170" fontId="47" fillId="3" borderId="7" xfId="83" applyNumberFormat="1" applyFont="1" applyFill="1" applyBorder="1" applyAlignment="1">
      <alignment horizontal="left" vertical="center" wrapText="1"/>
    </xf>
    <xf numFmtId="167" fontId="47" fillId="0" borderId="34" xfId="0" applyNumberFormat="1" applyFont="1" applyBorder="1" applyAlignment="1">
      <alignment vertical="center"/>
    </xf>
    <xf numFmtId="167" fontId="47" fillId="0" borderId="8" xfId="10" applyNumberFormat="1" applyFont="1" applyBorder="1" applyAlignment="1">
      <alignment horizontal="center" vertical="center" wrapText="1"/>
    </xf>
    <xf numFmtId="167" fontId="47" fillId="0" borderId="8" xfId="10" applyNumberFormat="1" applyFont="1" applyFill="1" applyBorder="1" applyAlignment="1">
      <alignment horizontal="center" vertical="center" wrapText="1"/>
    </xf>
    <xf numFmtId="167" fontId="47" fillId="0" borderId="8" xfId="10" applyNumberFormat="1" applyFont="1" applyBorder="1" applyAlignment="1">
      <alignment horizontal="right" vertical="center" wrapText="1"/>
    </xf>
    <xf numFmtId="193" fontId="50" fillId="0" borderId="1" xfId="0" applyNumberFormat="1" applyFont="1" applyBorder="1" applyAlignment="1">
      <alignment horizontal="right" vertical="center" wrapText="1"/>
    </xf>
    <xf numFmtId="193" fontId="47" fillId="0" borderId="9" xfId="0" applyNumberFormat="1" applyFont="1" applyBorder="1" applyAlignment="1">
      <alignment horizontal="right" vertical="center" wrapText="1"/>
    </xf>
    <xf numFmtId="165" fontId="47" fillId="0" borderId="9" xfId="10" applyFont="1" applyFill="1" applyBorder="1" applyAlignment="1">
      <alignment horizontal="right" vertical="center" wrapText="1"/>
    </xf>
    <xf numFmtId="193" fontId="47" fillId="0" borderId="7" xfId="0" applyNumberFormat="1" applyFont="1" applyBorder="1" applyAlignment="1">
      <alignment horizontal="right" vertical="center" wrapText="1"/>
    </xf>
    <xf numFmtId="165" fontId="47" fillId="0" borderId="7" xfId="10" applyFont="1" applyFill="1" applyBorder="1" applyAlignment="1">
      <alignment horizontal="right" vertical="center" wrapText="1"/>
    </xf>
    <xf numFmtId="167" fontId="47" fillId="3" borderId="6" xfId="0" applyNumberFormat="1" applyFont="1" applyFill="1" applyBorder="1" applyAlignment="1">
      <alignment horizontal="right" vertical="center" wrapText="1"/>
    </xf>
    <xf numFmtId="167" fontId="47" fillId="3" borderId="8" xfId="0" applyNumberFormat="1" applyFont="1" applyFill="1" applyBorder="1" applyAlignment="1">
      <alignment horizontal="righ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48" fillId="0" borderId="1" xfId="0" applyFont="1" applyBorder="1" applyAlignment="1">
      <alignment wrapText="1"/>
    </xf>
    <xf numFmtId="196" fontId="50" fillId="0" borderId="0" xfId="0" applyNumberFormat="1" applyFont="1"/>
    <xf numFmtId="256" fontId="50" fillId="0" borderId="0" xfId="0" applyNumberFormat="1" applyFont="1"/>
    <xf numFmtId="193" fontId="47" fillId="0" borderId="0" xfId="11" applyNumberFormat="1" applyFont="1"/>
    <xf numFmtId="197" fontId="50" fillId="0" borderId="16" xfId="0" applyNumberFormat="1" applyFont="1" applyBorder="1"/>
    <xf numFmtId="197" fontId="50" fillId="0" borderId="0" xfId="11" applyNumberFormat="1" applyFont="1" applyBorder="1"/>
    <xf numFmtId="255" fontId="50" fillId="0" borderId="0" xfId="0" applyNumberFormat="1" applyFont="1"/>
    <xf numFmtId="193" fontId="50" fillId="0" borderId="16" xfId="0" applyNumberFormat="1" applyFont="1" applyBorder="1" applyAlignment="1">
      <alignment horizontal="right" vertical="center" wrapText="1"/>
    </xf>
    <xf numFmtId="255" fontId="50" fillId="0" borderId="0" xfId="0" applyNumberFormat="1" applyFont="1" applyAlignment="1">
      <alignment horizontal="right" vertical="center" wrapText="1"/>
    </xf>
    <xf numFmtId="213" fontId="47" fillId="0" borderId="16" xfId="11" applyNumberFormat="1" applyFont="1" applyBorder="1"/>
    <xf numFmtId="193" fontId="47" fillId="0" borderId="0" xfId="11" applyNumberFormat="1" applyFont="1" applyBorder="1"/>
    <xf numFmtId="3" fontId="47" fillId="0" borderId="3" xfId="0" applyNumberFormat="1" applyFont="1" applyBorder="1" applyAlignment="1">
      <alignment horizontal="right" vertical="center" wrapText="1"/>
    </xf>
    <xf numFmtId="167" fontId="50" fillId="0" borderId="1" xfId="0" applyNumberFormat="1" applyFont="1" applyBorder="1" applyAlignment="1">
      <alignment vertical="center"/>
    </xf>
    <xf numFmtId="167" fontId="50" fillId="0" borderId="1" xfId="11" applyNumberFormat="1" applyFont="1" applyFill="1" applyBorder="1" applyAlignment="1">
      <alignment vertical="center"/>
    </xf>
    <xf numFmtId="167" fontId="47" fillId="0" borderId="1" xfId="11" applyNumberFormat="1" applyFont="1" applyFill="1" applyBorder="1" applyAlignment="1">
      <alignment vertical="center"/>
    </xf>
    <xf numFmtId="167" fontId="50" fillId="0" borderId="1" xfId="0" applyNumberFormat="1" applyFont="1" applyBorder="1" applyAlignment="1">
      <alignment vertical="center" wrapText="1"/>
    </xf>
    <xf numFmtId="167" fontId="50" fillId="0" borderId="1" xfId="10" applyNumberFormat="1" applyFont="1" applyFill="1" applyBorder="1" applyAlignment="1">
      <alignment vertical="center" wrapText="1"/>
    </xf>
    <xf numFmtId="167" fontId="50" fillId="0" borderId="1" xfId="11" applyNumberFormat="1" applyFont="1" applyFill="1" applyBorder="1" applyAlignment="1">
      <alignment vertical="center" wrapText="1"/>
    </xf>
    <xf numFmtId="167" fontId="47" fillId="0" borderId="1" xfId="10" applyNumberFormat="1" applyFont="1" applyFill="1" applyBorder="1" applyAlignment="1">
      <alignment vertical="center" wrapText="1"/>
    </xf>
    <xf numFmtId="167" fontId="47" fillId="0" borderId="1" xfId="11" applyNumberFormat="1" applyFont="1" applyFill="1" applyBorder="1" applyAlignment="1">
      <alignment vertical="center" wrapText="1"/>
    </xf>
    <xf numFmtId="167" fontId="47" fillId="0" borderId="1" xfId="66" applyNumberFormat="1" applyFont="1" applyFill="1" applyBorder="1" applyAlignment="1">
      <alignment vertical="center" wrapText="1"/>
    </xf>
    <xf numFmtId="167" fontId="47" fillId="0" borderId="1" xfId="11" applyNumberFormat="1" applyFont="1" applyFill="1" applyBorder="1" applyAlignment="1"/>
    <xf numFmtId="174" fontId="10" fillId="0" borderId="1" xfId="10" applyNumberFormat="1" applyFont="1" applyFill="1" applyBorder="1" applyAlignment="1">
      <alignment horizontal="center" vertical="center" wrapText="1"/>
    </xf>
    <xf numFmtId="165" fontId="10" fillId="0" borderId="1" xfId="10" applyFont="1" applyFill="1" applyBorder="1" applyAlignment="1">
      <alignment horizontal="center" vertical="center" wrapText="1"/>
    </xf>
    <xf numFmtId="166" fontId="17" fillId="0" borderId="0" xfId="11" applyFont="1" applyFill="1" applyBorder="1" applyAlignment="1"/>
    <xf numFmtId="174" fontId="10" fillId="0" borderId="1" xfId="10" applyNumberFormat="1" applyFont="1" applyFill="1" applyBorder="1" applyAlignment="1">
      <alignment horizontal="right" vertical="center" wrapText="1"/>
    </xf>
    <xf numFmtId="166" fontId="10" fillId="0" borderId="16" xfId="11" applyFont="1" applyFill="1" applyBorder="1"/>
    <xf numFmtId="176" fontId="10" fillId="0" borderId="0" xfId="11" applyNumberFormat="1" applyFont="1" applyFill="1"/>
    <xf numFmtId="184" fontId="47" fillId="0" borderId="8" xfId="11" applyNumberFormat="1" applyFont="1" applyFill="1" applyBorder="1" applyAlignment="1">
      <alignment horizontal="center" vertical="center"/>
    </xf>
    <xf numFmtId="184" fontId="50" fillId="0" borderId="6" xfId="11" applyNumberFormat="1" applyFont="1" applyFill="1" applyBorder="1" applyAlignment="1">
      <alignment horizontal="center" vertical="center"/>
    </xf>
    <xf numFmtId="184" fontId="47" fillId="0" borderId="6" xfId="11" applyNumberFormat="1" applyFont="1" applyFill="1" applyBorder="1" applyAlignment="1">
      <alignment horizontal="center" vertical="center"/>
    </xf>
    <xf numFmtId="184" fontId="47" fillId="0" borderId="7" xfId="11" applyNumberFormat="1" applyFont="1" applyFill="1" applyBorder="1" applyAlignment="1">
      <alignment horizontal="center" vertical="center"/>
    </xf>
    <xf numFmtId="174" fontId="47" fillId="0" borderId="1" xfId="10" applyNumberFormat="1" applyFont="1" applyFill="1" applyBorder="1" applyAlignment="1">
      <alignment horizontal="center"/>
    </xf>
    <xf numFmtId="193" fontId="47" fillId="0" borderId="8" xfId="0" applyNumberFormat="1" applyFont="1" applyBorder="1" applyAlignment="1">
      <alignment horizontal="right" vertical="center" wrapText="1"/>
    </xf>
    <xf numFmtId="164" fontId="47" fillId="3" borderId="0" xfId="0" applyNumberFormat="1" applyFont="1" applyFill="1"/>
    <xf numFmtId="167" fontId="48" fillId="0" borderId="0" xfId="0" applyNumberFormat="1" applyFont="1"/>
    <xf numFmtId="183" fontId="47" fillId="0" borderId="1" xfId="10" applyNumberFormat="1" applyFont="1" applyFill="1" applyBorder="1" applyAlignment="1">
      <alignment vertical="center" wrapText="1"/>
    </xf>
    <xf numFmtId="245" fontId="10" fillId="0" borderId="1" xfId="2" applyNumberFormat="1" applyFont="1" applyBorder="1" applyAlignment="1">
      <alignment horizontal="right" vertical="center"/>
    </xf>
    <xf numFmtId="221" fontId="10" fillId="0" borderId="1" xfId="2" applyNumberFormat="1" applyFont="1" applyBorder="1" applyAlignment="1">
      <alignment horizontal="right" vertical="center"/>
    </xf>
    <xf numFmtId="238" fontId="10" fillId="0" borderId="1" xfId="2" applyNumberFormat="1" applyFont="1" applyBorder="1" applyAlignment="1">
      <alignment horizontal="right" vertical="center"/>
    </xf>
    <xf numFmtId="193" fontId="10" fillId="0" borderId="7" xfId="3" applyNumberFormat="1" applyFont="1" applyBorder="1" applyAlignment="1">
      <alignment vertical="center" wrapText="1"/>
    </xf>
    <xf numFmtId="193" fontId="17" fillId="0" borderId="8" xfId="2" applyNumberFormat="1" applyFont="1" applyBorder="1" applyAlignment="1">
      <alignment vertical="center" wrapText="1"/>
    </xf>
    <xf numFmtId="193" fontId="11" fillId="0" borderId="4" xfId="2" applyNumberFormat="1" applyFont="1" applyBorder="1" applyAlignment="1">
      <alignment vertical="center" wrapText="1"/>
    </xf>
    <xf numFmtId="4" fontId="47" fillId="0" borderId="1" xfId="10" applyNumberFormat="1" applyFont="1" applyFill="1" applyBorder="1" applyAlignment="1">
      <alignment vertical="center" wrapText="1"/>
    </xf>
    <xf numFmtId="245" fontId="17" fillId="0" borderId="1" xfId="2" applyNumberFormat="1" applyFont="1" applyBorder="1" applyAlignment="1">
      <alignment horizontal="right" vertical="center"/>
    </xf>
    <xf numFmtId="193" fontId="10" fillId="0" borderId="1" xfId="2" applyNumberFormat="1" applyFont="1" applyBorder="1" applyAlignment="1">
      <alignment horizontal="right" vertical="center"/>
    </xf>
    <xf numFmtId="197" fontId="10" fillId="0" borderId="1" xfId="2" applyNumberFormat="1" applyFont="1" applyBorder="1" applyAlignment="1">
      <alignment horizontal="right" vertical="center"/>
    </xf>
    <xf numFmtId="245" fontId="17" fillId="0" borderId="1" xfId="3" applyNumberFormat="1" applyFont="1" applyBorder="1" applyAlignment="1">
      <alignment vertical="center" wrapText="1"/>
    </xf>
    <xf numFmtId="245" fontId="10" fillId="0" borderId="1" xfId="3" applyNumberFormat="1" applyFont="1" applyBorder="1" applyAlignment="1">
      <alignment vertical="center" wrapText="1"/>
    </xf>
    <xf numFmtId="212" fontId="10" fillId="0" borderId="1" xfId="2" applyNumberFormat="1" applyFont="1" applyBorder="1" applyAlignment="1">
      <alignment horizontal="right" vertical="center"/>
    </xf>
    <xf numFmtId="212" fontId="17" fillId="0" borderId="1" xfId="2" applyNumberFormat="1" applyFont="1" applyBorder="1" applyAlignment="1">
      <alignment vertical="center" wrapText="1"/>
    </xf>
    <xf numFmtId="3" fontId="37" fillId="0" borderId="0" xfId="0" applyNumberFormat="1" applyFont="1"/>
    <xf numFmtId="217" fontId="72" fillId="0" borderId="0" xfId="0" applyNumberFormat="1" applyFont="1" applyAlignment="1">
      <alignment vertical="center"/>
    </xf>
    <xf numFmtId="3" fontId="80" fillId="0" borderId="1" xfId="2" applyNumberFormat="1" applyFont="1" applyBorder="1" applyAlignment="1">
      <alignment horizontal="center" vertical="center"/>
    </xf>
    <xf numFmtId="0" fontId="80" fillId="0" borderId="1" xfId="0" applyFont="1" applyBorder="1" applyAlignment="1">
      <alignment vertical="center" wrapText="1"/>
    </xf>
    <xf numFmtId="167" fontId="80" fillId="0" borderId="1" xfId="2" applyNumberFormat="1" applyFont="1" applyBorder="1" applyAlignment="1">
      <alignment horizontal="right" vertical="center"/>
    </xf>
    <xf numFmtId="167" fontId="117" fillId="0" borderId="1" xfId="2" applyNumberFormat="1" applyFont="1" applyBorder="1" applyAlignment="1">
      <alignment horizontal="right" vertical="center"/>
    </xf>
    <xf numFmtId="212" fontId="80" fillId="0" borderId="1" xfId="2" applyNumberFormat="1" applyFont="1" applyBorder="1" applyAlignment="1">
      <alignment vertical="center" wrapText="1"/>
    </xf>
    <xf numFmtId="3" fontId="118" fillId="0" borderId="0" xfId="2" applyNumberFormat="1" applyFont="1" applyAlignment="1">
      <alignment horizontal="center"/>
    </xf>
    <xf numFmtId="197" fontId="118" fillId="0" borderId="0" xfId="2" applyNumberFormat="1" applyFont="1" applyAlignment="1">
      <alignment horizontal="center"/>
    </xf>
    <xf numFmtId="245" fontId="22" fillId="0" borderId="0" xfId="0" applyNumberFormat="1" applyFont="1" applyAlignment="1">
      <alignment vertical="center"/>
    </xf>
    <xf numFmtId="193" fontId="22" fillId="0" borderId="0" xfId="0" applyNumberFormat="1" applyFont="1" applyAlignment="1">
      <alignment vertical="center"/>
    </xf>
    <xf numFmtId="0" fontId="22" fillId="0" borderId="0" xfId="0" applyFont="1" applyAlignment="1">
      <alignment vertical="center"/>
    </xf>
    <xf numFmtId="0" fontId="22" fillId="0" borderId="0" xfId="0" applyFont="1" applyAlignment="1">
      <alignment horizontal="center" vertical="center"/>
    </xf>
    <xf numFmtId="174" fontId="118" fillId="0" borderId="0" xfId="10" applyNumberFormat="1" applyFont="1" applyFill="1" applyAlignment="1">
      <alignment horizontal="center"/>
    </xf>
    <xf numFmtId="3" fontId="117" fillId="0" borderId="3" xfId="2" applyNumberFormat="1" applyFont="1" applyBorder="1" applyAlignment="1">
      <alignment horizontal="center" vertical="center"/>
    </xf>
    <xf numFmtId="197" fontId="80" fillId="0" borderId="1" xfId="2" applyNumberFormat="1" applyFont="1" applyBorder="1" applyAlignment="1">
      <alignment horizontal="right" vertical="center"/>
    </xf>
    <xf numFmtId="3" fontId="22" fillId="0" borderId="0" xfId="2" applyNumberFormat="1" applyFont="1" applyAlignment="1">
      <alignment horizontal="center"/>
    </xf>
    <xf numFmtId="3" fontId="119" fillId="0" borderId="0" xfId="0" applyNumberFormat="1" applyFont="1"/>
    <xf numFmtId="174" fontId="22" fillId="0" borderId="0" xfId="10" applyNumberFormat="1" applyFont="1" applyFill="1" applyAlignment="1">
      <alignment horizontal="center"/>
    </xf>
    <xf numFmtId="3" fontId="117" fillId="0" borderId="33" xfId="2" applyNumberFormat="1" applyFont="1" applyBorder="1" applyAlignment="1">
      <alignment horizontal="center" vertical="center"/>
    </xf>
    <xf numFmtId="167" fontId="117" fillId="0" borderId="1" xfId="3" applyNumberFormat="1" applyFont="1" applyBorder="1" applyAlignment="1">
      <alignment vertical="center" wrapText="1"/>
    </xf>
    <xf numFmtId="245" fontId="117" fillId="0" borderId="1" xfId="3" applyNumberFormat="1" applyFont="1" applyBorder="1" applyAlignment="1">
      <alignment vertical="center" wrapText="1"/>
    </xf>
    <xf numFmtId="0" fontId="120" fillId="0" borderId="0" xfId="0" applyFont="1" applyAlignment="1">
      <alignment vertical="center"/>
    </xf>
    <xf numFmtId="0" fontId="120" fillId="0" borderId="0" xfId="0" applyFont="1" applyAlignment="1">
      <alignment horizontal="center" vertical="center"/>
    </xf>
    <xf numFmtId="245" fontId="118" fillId="0" borderId="0" xfId="2" applyNumberFormat="1" applyFont="1" applyAlignment="1">
      <alignment horizontal="center" vertical="center"/>
    </xf>
    <xf numFmtId="221" fontId="120" fillId="0" borderId="0" xfId="0" applyNumberFormat="1" applyFont="1" applyAlignment="1">
      <alignment vertical="center"/>
    </xf>
    <xf numFmtId="193" fontId="120" fillId="0" borderId="0" xfId="0" applyNumberFormat="1" applyFont="1" applyAlignment="1">
      <alignment vertical="center"/>
    </xf>
    <xf numFmtId="167" fontId="80" fillId="0" borderId="1" xfId="3" applyNumberFormat="1" applyFont="1" applyBorder="1" applyAlignment="1">
      <alignment vertical="center" wrapText="1"/>
    </xf>
    <xf numFmtId="245" fontId="80" fillId="0" borderId="1" xfId="3" applyNumberFormat="1" applyFont="1" applyBorder="1" applyAlignment="1">
      <alignment vertical="center" wrapText="1"/>
    </xf>
    <xf numFmtId="185" fontId="22" fillId="0" borderId="0" xfId="2" applyNumberFormat="1" applyFont="1" applyAlignment="1">
      <alignment horizontal="center" vertical="center"/>
    </xf>
    <xf numFmtId="217" fontId="120" fillId="0" borderId="0" xfId="0" applyNumberFormat="1" applyFont="1" applyAlignment="1">
      <alignment vertical="center"/>
    </xf>
    <xf numFmtId="245" fontId="80" fillId="0" borderId="1" xfId="2" applyNumberFormat="1" applyFont="1" applyBorder="1" applyAlignment="1">
      <alignment horizontal="right" vertical="center"/>
    </xf>
    <xf numFmtId="167" fontId="22" fillId="0" borderId="0" xfId="2" applyNumberFormat="1" applyFont="1" applyAlignment="1">
      <alignment horizontal="center"/>
    </xf>
    <xf numFmtId="221" fontId="22" fillId="0" borderId="0" xfId="0" applyNumberFormat="1" applyFont="1" applyAlignment="1">
      <alignment vertical="center"/>
    </xf>
    <xf numFmtId="3" fontId="117" fillId="0" borderId="7" xfId="2" applyNumberFormat="1" applyFont="1" applyBorder="1" applyAlignment="1">
      <alignment horizontal="center" vertical="center"/>
    </xf>
    <xf numFmtId="165" fontId="22" fillId="0" borderId="7" xfId="10" applyFont="1" applyFill="1" applyBorder="1" applyAlignment="1">
      <alignment horizontal="justify" vertical="center" wrapText="1"/>
    </xf>
    <xf numFmtId="4" fontId="80" fillId="0" borderId="7" xfId="2" applyNumberFormat="1" applyFont="1" applyBorder="1" applyAlignment="1">
      <alignment vertical="center" wrapText="1"/>
    </xf>
    <xf numFmtId="4" fontId="117" fillId="0" borderId="9" xfId="2" applyNumberFormat="1" applyFont="1" applyBorder="1" applyAlignment="1">
      <alignment horizontal="right" vertical="center"/>
    </xf>
    <xf numFmtId="4" fontId="80" fillId="0" borderId="9" xfId="2" applyNumberFormat="1" applyFont="1" applyBorder="1" applyAlignment="1">
      <alignment horizontal="right" vertical="center"/>
    </xf>
    <xf numFmtId="0" fontId="118" fillId="0" borderId="0" xfId="0" applyFont="1" applyAlignment="1">
      <alignment horizontal="center" vertical="center"/>
    </xf>
    <xf numFmtId="0" fontId="121" fillId="0" borderId="0" xfId="0" applyFont="1" applyAlignment="1">
      <alignment vertical="center"/>
    </xf>
    <xf numFmtId="245" fontId="120" fillId="0" borderId="0" xfId="0" applyNumberFormat="1" applyFont="1" applyAlignment="1">
      <alignment vertical="center"/>
    </xf>
    <xf numFmtId="0" fontId="48" fillId="26" borderId="1" xfId="0" applyFont="1" applyFill="1" applyBorder="1" applyAlignment="1">
      <alignment horizontal="center"/>
    </xf>
    <xf numFmtId="0" fontId="72" fillId="26" borderId="8" xfId="0" applyFont="1" applyFill="1" applyBorder="1" applyAlignment="1">
      <alignment horizontal="left" vertical="center" wrapText="1"/>
    </xf>
    <xf numFmtId="167" fontId="47" fillId="26" borderId="1" xfId="0" applyNumberFormat="1" applyFont="1" applyFill="1" applyBorder="1"/>
    <xf numFmtId="167" fontId="47" fillId="26" borderId="1" xfId="11" applyNumberFormat="1" applyFont="1" applyFill="1" applyBorder="1" applyAlignment="1"/>
    <xf numFmtId="167" fontId="47" fillId="26" borderId="1" xfId="11" applyNumberFormat="1" applyFont="1" applyFill="1" applyBorder="1" applyAlignment="1">
      <alignment vertical="center"/>
    </xf>
    <xf numFmtId="167" fontId="47" fillId="26" borderId="1" xfId="10" applyNumberFormat="1" applyFont="1" applyFill="1" applyBorder="1" applyAlignment="1">
      <alignment vertical="center" wrapText="1"/>
    </xf>
    <xf numFmtId="167" fontId="47" fillId="26" borderId="1" xfId="0" applyNumberFormat="1" applyFont="1" applyFill="1" applyBorder="1" applyAlignment="1">
      <alignment vertical="center"/>
    </xf>
    <xf numFmtId="0" fontId="48" fillId="26" borderId="0" xfId="0" applyFont="1" applyFill="1"/>
    <xf numFmtId="0" fontId="10" fillId="0" borderId="0" xfId="0" applyFont="1" applyAlignment="1">
      <alignment horizontal="center" vertical="center" wrapText="1"/>
    </xf>
    <xf numFmtId="237" fontId="10" fillId="0" borderId="1" xfId="2" applyNumberFormat="1" applyFont="1" applyBorder="1" applyAlignment="1">
      <alignment horizontal="right" vertical="center"/>
    </xf>
    <xf numFmtId="237" fontId="80" fillId="0" borderId="1" xfId="2" applyNumberFormat="1" applyFont="1" applyBorder="1" applyAlignment="1">
      <alignment horizontal="right" vertical="center"/>
    </xf>
    <xf numFmtId="237" fontId="17" fillId="0" borderId="1" xfId="2" applyNumberFormat="1" applyFont="1" applyBorder="1" applyAlignment="1">
      <alignment horizontal="right" vertical="center"/>
    </xf>
    <xf numFmtId="237" fontId="117" fillId="0" borderId="1" xfId="2" applyNumberFormat="1" applyFont="1" applyBorder="1" applyAlignment="1">
      <alignment horizontal="right" vertical="center"/>
    </xf>
    <xf numFmtId="237" fontId="17" fillId="0" borderId="1" xfId="2" applyNumberFormat="1" applyFont="1" applyBorder="1" applyAlignment="1">
      <alignment vertical="center" wrapText="1"/>
    </xf>
    <xf numFmtId="237" fontId="17" fillId="0" borderId="7" xfId="2" applyNumberFormat="1" applyFont="1" applyBorder="1" applyAlignment="1">
      <alignment vertical="center" wrapText="1"/>
    </xf>
    <xf numFmtId="3" fontId="17" fillId="3" borderId="0" xfId="55" applyNumberFormat="1" applyFont="1" applyFill="1" applyAlignment="1">
      <alignment vertical="center"/>
    </xf>
    <xf numFmtId="0" fontId="17" fillId="3" borderId="0" xfId="55" applyFont="1" applyFill="1" applyAlignment="1">
      <alignment vertical="center"/>
    </xf>
    <xf numFmtId="2" fontId="10" fillId="3" borderId="0" xfId="55" applyNumberFormat="1" applyFont="1" applyFill="1" applyAlignment="1">
      <alignment vertical="center"/>
    </xf>
    <xf numFmtId="0" fontId="80" fillId="3" borderId="0" xfId="55" applyFont="1" applyFill="1" applyAlignment="1">
      <alignment vertical="center"/>
    </xf>
    <xf numFmtId="0" fontId="10" fillId="3" borderId="0" xfId="55" applyFont="1" applyFill="1" applyAlignment="1">
      <alignment horizontal="center" vertical="center" wrapText="1"/>
    </xf>
    <xf numFmtId="0" fontId="17" fillId="3" borderId="0" xfId="55" applyFont="1" applyFill="1" applyAlignment="1">
      <alignment horizontal="center" vertical="center"/>
    </xf>
    <xf numFmtId="257" fontId="17" fillId="3" borderId="0" xfId="65" applyNumberFormat="1" applyFont="1" applyFill="1" applyAlignment="1">
      <alignment vertical="center"/>
    </xf>
    <xf numFmtId="3" fontId="80" fillId="3" borderId="0" xfId="55" applyNumberFormat="1" applyFont="1" applyFill="1" applyAlignment="1">
      <alignment vertical="center"/>
    </xf>
    <xf numFmtId="0" fontId="17" fillId="3" borderId="13" xfId="55" applyFont="1" applyFill="1" applyBorder="1" applyAlignment="1">
      <alignment vertical="center"/>
    </xf>
    <xf numFmtId="0" fontId="10" fillId="3" borderId="1" xfId="55" applyFont="1" applyFill="1" applyBorder="1" applyAlignment="1">
      <alignment horizontal="center" vertical="center" wrapText="1"/>
    </xf>
    <xf numFmtId="0" fontId="10" fillId="3" borderId="33" xfId="55" applyFont="1" applyFill="1" applyBorder="1" applyAlignment="1">
      <alignment horizontal="center" vertical="center" wrapText="1"/>
    </xf>
    <xf numFmtId="2" fontId="10" fillId="3" borderId="1" xfId="55" applyNumberFormat="1" applyFont="1" applyFill="1" applyBorder="1" applyAlignment="1">
      <alignment horizontal="center" vertical="center" wrapText="1"/>
    </xf>
    <xf numFmtId="0" fontId="10" fillId="3" borderId="1" xfId="55" applyFont="1" applyFill="1" applyBorder="1" applyAlignment="1">
      <alignment horizontal="center" vertical="center"/>
    </xf>
    <xf numFmtId="0" fontId="17" fillId="3" borderId="1" xfId="55" applyFont="1" applyFill="1" applyBorder="1" applyAlignment="1">
      <alignment horizontal="center" vertical="center" wrapText="1"/>
    </xf>
    <xf numFmtId="3" fontId="17" fillId="3" borderId="1" xfId="55" applyNumberFormat="1" applyFont="1" applyFill="1" applyBorder="1" applyAlignment="1">
      <alignment horizontal="center" vertical="center" wrapText="1"/>
    </xf>
    <xf numFmtId="1" fontId="17" fillId="3" borderId="4" xfId="55" applyNumberFormat="1" applyFont="1" applyFill="1" applyBorder="1" applyAlignment="1">
      <alignment horizontal="center" vertical="center" wrapText="1"/>
    </xf>
    <xf numFmtId="0" fontId="17" fillId="3" borderId="4" xfId="55" applyFont="1" applyFill="1" applyBorder="1" applyAlignment="1">
      <alignment horizontal="center" vertical="center" wrapText="1"/>
    </xf>
    <xf numFmtId="0" fontId="17" fillId="3" borderId="3" xfId="55" applyFont="1" applyFill="1" applyBorder="1" applyAlignment="1">
      <alignment horizontal="center" vertical="center" wrapText="1"/>
    </xf>
    <xf numFmtId="3" fontId="17" fillId="3" borderId="9" xfId="55" applyNumberFormat="1" applyFont="1" applyFill="1" applyBorder="1" applyAlignment="1">
      <alignment horizontal="center" vertical="center"/>
    </xf>
    <xf numFmtId="3" fontId="80" fillId="3" borderId="12" xfId="0" applyNumberFormat="1" applyFont="1" applyFill="1" applyBorder="1" applyAlignment="1">
      <alignment vertical="center"/>
    </xf>
    <xf numFmtId="3" fontId="80" fillId="3" borderId="1" xfId="0" applyNumberFormat="1" applyFont="1" applyFill="1" applyBorder="1" applyAlignment="1">
      <alignment vertical="center"/>
    </xf>
    <xf numFmtId="0" fontId="10" fillId="3" borderId="7" xfId="55" applyFont="1" applyFill="1" applyBorder="1" applyAlignment="1">
      <alignment horizontal="center" vertical="center"/>
    </xf>
    <xf numFmtId="3" fontId="10" fillId="3" borderId="7" xfId="103" applyNumberFormat="1" applyFont="1" applyFill="1" applyBorder="1" applyAlignment="1">
      <alignment vertical="center" wrapText="1"/>
    </xf>
    <xf numFmtId="0" fontId="10" fillId="3" borderId="0" xfId="55" applyFont="1" applyFill="1" applyAlignment="1">
      <alignment vertical="center"/>
    </xf>
    <xf numFmtId="0" fontId="40" fillId="3" borderId="7" xfId="0" applyFont="1" applyFill="1" applyBorder="1" applyAlignment="1">
      <alignment horizontal="center" vertical="center"/>
    </xf>
    <xf numFmtId="0" fontId="40" fillId="3" borderId="7" xfId="0" applyFont="1" applyFill="1" applyBorder="1" applyAlignment="1">
      <alignment vertical="center" wrapText="1"/>
    </xf>
    <xf numFmtId="3" fontId="17" fillId="3" borderId="7" xfId="103" applyNumberFormat="1" applyFont="1" applyFill="1" applyBorder="1" applyAlignment="1">
      <alignment vertical="center"/>
    </xf>
    <xf numFmtId="3" fontId="17" fillId="3" borderId="7" xfId="103" applyNumberFormat="1" applyFont="1" applyFill="1" applyBorder="1" applyAlignment="1">
      <alignment vertical="center" wrapText="1"/>
    </xf>
    <xf numFmtId="3" fontId="17" fillId="3" borderId="7" xfId="103" applyNumberFormat="1" applyFont="1" applyFill="1" applyBorder="1" applyAlignment="1">
      <alignment horizontal="right" vertical="center" wrapText="1"/>
    </xf>
    <xf numFmtId="3" fontId="17" fillId="3" borderId="7" xfId="115" applyNumberFormat="1" applyFont="1" applyFill="1" applyBorder="1" applyAlignment="1">
      <alignment vertical="center"/>
    </xf>
    <xf numFmtId="168" fontId="80" fillId="3" borderId="39" xfId="103" applyNumberFormat="1" applyFont="1" applyFill="1" applyBorder="1" applyAlignment="1">
      <alignment horizontal="right" vertical="center" wrapText="1"/>
    </xf>
    <xf numFmtId="168" fontId="80" fillId="3" borderId="7" xfId="103" applyNumberFormat="1" applyFont="1" applyFill="1" applyBorder="1" applyAlignment="1">
      <alignment horizontal="right" vertical="center" wrapText="1"/>
    </xf>
    <xf numFmtId="3" fontId="17" fillId="26" borderId="7" xfId="103" applyNumberFormat="1" applyFont="1" applyFill="1" applyBorder="1" applyAlignment="1">
      <alignment vertical="center"/>
    </xf>
    <xf numFmtId="3" fontId="40" fillId="3" borderId="7" xfId="8" applyNumberFormat="1" applyFont="1" applyFill="1" applyBorder="1" applyAlignment="1">
      <alignment vertical="center" wrapText="1"/>
    </xf>
    <xf numFmtId="0" fontId="80" fillId="3" borderId="0" xfId="55" applyFont="1" applyFill="1" applyAlignment="1">
      <alignment vertical="center" wrapText="1"/>
    </xf>
    <xf numFmtId="168" fontId="17" fillId="3" borderId="7" xfId="103" applyNumberFormat="1" applyFont="1" applyFill="1" applyBorder="1" applyAlignment="1">
      <alignment horizontal="right" vertical="center" wrapText="1"/>
    </xf>
    <xf numFmtId="168" fontId="80" fillId="3" borderId="0" xfId="55" applyNumberFormat="1" applyFont="1" applyFill="1" applyAlignment="1">
      <alignment vertical="center" wrapText="1"/>
    </xf>
    <xf numFmtId="0" fontId="17" fillId="3" borderId="4" xfId="55" applyFont="1" applyFill="1" applyBorder="1" applyAlignment="1">
      <alignment horizontal="center" vertical="center"/>
    </xf>
    <xf numFmtId="0" fontId="17" fillId="3" borderId="4" xfId="55" applyFont="1" applyFill="1" applyBorder="1" applyAlignment="1">
      <alignment vertical="center" wrapText="1"/>
    </xf>
    <xf numFmtId="3" fontId="17" fillId="3" borderId="8" xfId="103" applyNumberFormat="1" applyFont="1" applyFill="1" applyBorder="1" applyAlignment="1">
      <alignment vertical="center"/>
    </xf>
    <xf numFmtId="0" fontId="17" fillId="3" borderId="4" xfId="55" applyFont="1" applyFill="1" applyBorder="1" applyAlignment="1">
      <alignment vertical="center"/>
    </xf>
    <xf numFmtId="168" fontId="17" fillId="3" borderId="4" xfId="103" applyNumberFormat="1" applyFont="1" applyFill="1" applyBorder="1" applyAlignment="1">
      <alignment vertical="center"/>
    </xf>
    <xf numFmtId="3" fontId="17" fillId="3" borderId="4" xfId="103" applyNumberFormat="1" applyFont="1" applyFill="1" applyBorder="1" applyAlignment="1">
      <alignment vertical="center"/>
    </xf>
    <xf numFmtId="2" fontId="17" fillId="3" borderId="4" xfId="55" applyNumberFormat="1" applyFont="1" applyFill="1" applyBorder="1" applyAlignment="1">
      <alignment vertical="center"/>
    </xf>
    <xf numFmtId="0" fontId="80" fillId="3" borderId="4" xfId="55" applyFont="1" applyFill="1" applyBorder="1" applyAlignment="1">
      <alignment vertical="center"/>
    </xf>
    <xf numFmtId="2" fontId="17" fillId="3" borderId="0" xfId="55" applyNumberFormat="1" applyFont="1" applyFill="1" applyAlignment="1">
      <alignment vertical="center"/>
    </xf>
    <xf numFmtId="0" fontId="17" fillId="0" borderId="0" xfId="0" applyFont="1" applyAlignment="1">
      <alignment vertical="center" wrapText="1"/>
    </xf>
    <xf numFmtId="0" fontId="125" fillId="0" borderId="0" xfId="0" applyFont="1" applyAlignment="1">
      <alignment horizontal="center" vertical="center" wrapText="1"/>
    </xf>
    <xf numFmtId="0" fontId="123" fillId="0" borderId="1" xfId="0" applyFont="1" applyBorder="1" applyAlignment="1">
      <alignment horizontal="center" vertical="center" wrapText="1"/>
    </xf>
    <xf numFmtId="0" fontId="126" fillId="0" borderId="1" xfId="0" applyFont="1" applyBorder="1" applyAlignment="1">
      <alignment horizontal="center" vertical="center" wrapText="1"/>
    </xf>
    <xf numFmtId="0" fontId="127" fillId="0" borderId="1" xfId="0" applyFont="1" applyBorder="1" applyAlignment="1">
      <alignment horizontal="center" vertical="center" wrapText="1"/>
    </xf>
    <xf numFmtId="0" fontId="127" fillId="0" borderId="1" xfId="0" quotePrefix="1" applyFont="1" applyBorder="1" applyAlignment="1">
      <alignment horizontal="center" vertical="center" wrapText="1"/>
    </xf>
    <xf numFmtId="0" fontId="38" fillId="0" borderId="0" xfId="0" applyFont="1" applyAlignment="1">
      <alignment vertical="center" wrapText="1"/>
    </xf>
    <xf numFmtId="0" fontId="123" fillId="0" borderId="1" xfId="0" applyFont="1" applyBorder="1" applyAlignment="1">
      <alignment vertical="center" wrapText="1"/>
    </xf>
    <xf numFmtId="0" fontId="128" fillId="0" borderId="1" xfId="0" applyFont="1" applyBorder="1" applyAlignment="1">
      <alignment horizontal="center" vertical="center" wrapText="1"/>
    </xf>
    <xf numFmtId="0" fontId="129" fillId="0" borderId="1" xfId="0" applyFont="1" applyBorder="1" applyAlignment="1">
      <alignment horizontal="center" vertical="center" wrapText="1"/>
    </xf>
    <xf numFmtId="0" fontId="129" fillId="0" borderId="1" xfId="0" applyFont="1" applyBorder="1" applyAlignment="1">
      <alignment vertical="center" wrapText="1"/>
    </xf>
    <xf numFmtId="0" fontId="20" fillId="0" borderId="0" xfId="0" applyFont="1" applyAlignment="1">
      <alignment vertical="center" wrapText="1"/>
    </xf>
    <xf numFmtId="0" fontId="128" fillId="0" borderId="1" xfId="0" applyFont="1" applyBorder="1" applyAlignment="1">
      <alignment vertical="center" wrapText="1"/>
    </xf>
    <xf numFmtId="168" fontId="20" fillId="0" borderId="1" xfId="163" applyNumberFormat="1" applyFont="1" applyFill="1" applyBorder="1" applyAlignment="1">
      <alignment vertical="center" wrapText="1"/>
    </xf>
    <xf numFmtId="168" fontId="10" fillId="0" borderId="1" xfId="163" applyNumberFormat="1" applyFont="1" applyFill="1" applyBorder="1" applyAlignment="1">
      <alignment vertical="center" wrapText="1"/>
    </xf>
    <xf numFmtId="168" fontId="17" fillId="0" borderId="1" xfId="163" applyNumberFormat="1" applyFont="1" applyFill="1" applyBorder="1" applyAlignment="1">
      <alignment vertical="center" wrapText="1"/>
    </xf>
    <xf numFmtId="0" fontId="125" fillId="0" borderId="1" xfId="0" applyFont="1" applyBorder="1" applyAlignment="1">
      <alignment horizontal="center" vertical="center" wrapText="1"/>
    </xf>
    <xf numFmtId="0" fontId="125" fillId="0" borderId="1" xfId="0" applyFont="1" applyBorder="1" applyAlignment="1">
      <alignment vertical="center" wrapText="1"/>
    </xf>
    <xf numFmtId="0" fontId="128" fillId="0" borderId="0" xfId="0" applyFont="1" applyAlignment="1">
      <alignment vertical="center" wrapText="1"/>
    </xf>
    <xf numFmtId="0" fontId="123" fillId="0" borderId="0" xfId="0" applyFont="1" applyAlignment="1">
      <alignment horizontal="center" vertical="center" wrapText="1"/>
    </xf>
    <xf numFmtId="0" fontId="129" fillId="0" borderId="0" xfId="0" applyFont="1" applyAlignment="1">
      <alignment vertical="center" wrapText="1"/>
    </xf>
    <xf numFmtId="0" fontId="125" fillId="0" borderId="0" xfId="0" applyFont="1" applyAlignment="1">
      <alignment vertical="center" wrapText="1"/>
    </xf>
    <xf numFmtId="0" fontId="72" fillId="0" borderId="0" xfId="0" applyFont="1" applyAlignment="1">
      <alignment vertical="center" wrapText="1"/>
    </xf>
    <xf numFmtId="0" fontId="130" fillId="0" borderId="0" xfId="0" applyFont="1"/>
    <xf numFmtId="170" fontId="17" fillId="0" borderId="0" xfId="164" applyNumberFormat="1" applyFont="1" applyAlignment="1">
      <alignment vertical="center" wrapText="1"/>
    </xf>
    <xf numFmtId="170" fontId="11" fillId="0" borderId="0" xfId="164" applyNumberFormat="1" applyFont="1" applyAlignment="1">
      <alignment horizontal="center" vertical="center" wrapText="1"/>
    </xf>
    <xf numFmtId="170" fontId="10" fillId="0" borderId="0" xfId="164" applyNumberFormat="1" applyFont="1" applyAlignment="1">
      <alignment horizontal="center" vertical="center" wrapText="1"/>
    </xf>
    <xf numFmtId="0" fontId="131" fillId="0" borderId="0" xfId="0" applyFont="1" applyAlignment="1">
      <alignment vertical="center" wrapText="1"/>
    </xf>
    <xf numFmtId="0" fontId="87" fillId="0" borderId="0" xfId="0" applyFont="1" applyAlignment="1">
      <alignment horizontal="right" vertical="center" wrapText="1"/>
    </xf>
    <xf numFmtId="0" fontId="131" fillId="0" borderId="1" xfId="0" applyFont="1" applyBorder="1" applyAlignment="1">
      <alignment horizontal="center" vertical="center" wrapText="1"/>
    </xf>
    <xf numFmtId="0" fontId="131" fillId="0" borderId="0" xfId="0" applyFont="1" applyAlignment="1">
      <alignment horizontal="center" vertical="center" wrapText="1"/>
    </xf>
    <xf numFmtId="0" fontId="71" fillId="0" borderId="7" xfId="0" applyFont="1" applyBorder="1" applyAlignment="1">
      <alignment horizontal="center" vertical="center" wrapText="1"/>
    </xf>
    <xf numFmtId="0" fontId="71" fillId="0" borderId="7" xfId="0" applyFont="1" applyBorder="1" applyAlignment="1">
      <alignment vertical="center" wrapText="1"/>
    </xf>
    <xf numFmtId="0" fontId="71" fillId="0" borderId="0" xfId="0" applyFont="1" applyAlignment="1">
      <alignment vertical="center" wrapText="1"/>
    </xf>
    <xf numFmtId="0" fontId="131" fillId="0" borderId="7" xfId="0" applyFont="1" applyBorder="1" applyAlignment="1">
      <alignment horizontal="center" vertical="center" wrapText="1"/>
    </xf>
    <xf numFmtId="0" fontId="131" fillId="0" borderId="7" xfId="0" applyFont="1" applyBorder="1" applyAlignment="1">
      <alignment vertical="center" wrapText="1"/>
    </xf>
    <xf numFmtId="0" fontId="131" fillId="0" borderId="8" xfId="0" applyFont="1" applyBorder="1" applyAlignment="1">
      <alignment vertical="center" wrapText="1"/>
    </xf>
    <xf numFmtId="0" fontId="131" fillId="0" borderId="0" xfId="0" applyFont="1"/>
    <xf numFmtId="170" fontId="71" fillId="0" borderId="0" xfId="164" applyNumberFormat="1" applyFont="1"/>
    <xf numFmtId="170" fontId="87" fillId="0" borderId="0" xfId="164" applyNumberFormat="1" applyFont="1"/>
    <xf numFmtId="0" fontId="87" fillId="0" borderId="0" xfId="0" applyFont="1" applyAlignment="1">
      <alignment vertical="center" wrapText="1"/>
    </xf>
    <xf numFmtId="0" fontId="87" fillId="0" borderId="1" xfId="0" applyFont="1" applyBorder="1" applyAlignment="1">
      <alignment horizontal="center" vertical="center" wrapText="1"/>
    </xf>
    <xf numFmtId="0" fontId="87" fillId="0" borderId="33" xfId="0" applyFont="1" applyBorder="1" applyAlignment="1">
      <alignment horizontal="center" vertical="center" wrapText="1"/>
    </xf>
    <xf numFmtId="0" fontId="47" fillId="0" borderId="0" xfId="0" applyFont="1" applyAlignment="1">
      <alignment horizontal="center" vertical="center" wrapText="1"/>
    </xf>
    <xf numFmtId="0" fontId="87" fillId="0" borderId="9" xfId="0" applyFont="1" applyBorder="1" applyAlignment="1">
      <alignment horizontal="center" vertical="center" wrapText="1"/>
    </xf>
    <xf numFmtId="0" fontId="87" fillId="0" borderId="9" xfId="0" applyFont="1" applyBorder="1" applyAlignment="1">
      <alignment horizontal="left" vertical="center" wrapText="1"/>
    </xf>
    <xf numFmtId="0" fontId="87" fillId="0" borderId="0" xfId="0" applyFont="1" applyAlignment="1">
      <alignment horizontal="center" vertical="center" wrapText="1"/>
    </xf>
    <xf numFmtId="0" fontId="87" fillId="0" borderId="7" xfId="0" applyFont="1" applyBorder="1" applyAlignment="1">
      <alignment horizontal="center" vertical="center" wrapText="1"/>
    </xf>
    <xf numFmtId="0" fontId="87" fillId="0" borderId="7" xfId="0" applyFont="1" applyBorder="1" applyAlignment="1">
      <alignment vertical="center" wrapText="1"/>
    </xf>
    <xf numFmtId="170" fontId="71" fillId="0" borderId="0" xfId="164" applyNumberFormat="1" applyFont="1" applyAlignment="1">
      <alignment vertical="center" wrapText="1"/>
    </xf>
    <xf numFmtId="170" fontId="87" fillId="0" borderId="0" xfId="164" applyNumberFormat="1" applyFont="1" applyAlignment="1">
      <alignment vertical="center" wrapText="1"/>
    </xf>
    <xf numFmtId="0" fontId="10" fillId="0" borderId="0" xfId="4" applyFont="1" applyAlignment="1">
      <alignment horizontal="center" vertical="center" wrapText="1"/>
    </xf>
    <xf numFmtId="167" fontId="132" fillId="0" borderId="0" xfId="4" applyNumberFormat="1" applyFont="1" applyAlignment="1">
      <alignment horizontal="center" vertical="center" wrapText="1"/>
    </xf>
    <xf numFmtId="167" fontId="116" fillId="0" borderId="0" xfId="0" applyNumberFormat="1" applyFont="1" applyAlignment="1">
      <alignment vertical="center"/>
    </xf>
    <xf numFmtId="167" fontId="132" fillId="0" borderId="0" xfId="0" applyNumberFormat="1" applyFont="1" applyAlignment="1">
      <alignment vertical="center"/>
    </xf>
    <xf numFmtId="167" fontId="10" fillId="0" borderId="0" xfId="4" applyNumberFormat="1" applyFont="1" applyAlignment="1">
      <alignment vertical="center"/>
    </xf>
    <xf numFmtId="0" fontId="10" fillId="0" borderId="0" xfId="4" applyFont="1" applyAlignment="1">
      <alignment vertical="center"/>
    </xf>
    <xf numFmtId="0" fontId="17" fillId="0" borderId="0" xfId="4" applyFont="1" applyAlignment="1">
      <alignment horizontal="center" vertical="center" wrapText="1"/>
    </xf>
    <xf numFmtId="0" fontId="17" fillId="0" borderId="0" xfId="4" applyFont="1" applyAlignment="1">
      <alignment vertical="center" wrapText="1"/>
    </xf>
    <xf numFmtId="167" fontId="133" fillId="0" borderId="0" xfId="4" applyNumberFormat="1" applyFont="1" applyAlignment="1">
      <alignment vertical="center" wrapText="1"/>
    </xf>
    <xf numFmtId="167" fontId="109" fillId="0" borderId="0" xfId="0" applyNumberFormat="1" applyFont="1" applyAlignment="1">
      <alignment vertical="center"/>
    </xf>
    <xf numFmtId="167" fontId="133" fillId="0" borderId="0" xfId="0" applyNumberFormat="1" applyFont="1" applyAlignment="1">
      <alignment vertical="center"/>
    </xf>
    <xf numFmtId="167" fontId="114" fillId="0" borderId="0" xfId="0" applyNumberFormat="1" applyFont="1" applyAlignment="1">
      <alignment vertical="center"/>
    </xf>
    <xf numFmtId="167" fontId="17" fillId="0" borderId="0" xfId="4" applyNumberFormat="1" applyFont="1" applyAlignment="1">
      <alignment vertical="center"/>
    </xf>
    <xf numFmtId="0" fontId="17" fillId="0" borderId="0" xfId="4" applyFont="1" applyAlignment="1">
      <alignment vertical="center"/>
    </xf>
    <xf numFmtId="167" fontId="135" fillId="0" borderId="1" xfId="0" applyNumberFormat="1" applyFont="1" applyBorder="1" applyAlignment="1">
      <alignment horizontal="center" vertical="center" wrapText="1"/>
    </xf>
    <xf numFmtId="167" fontId="136" fillId="0" borderId="0" xfId="4" applyNumberFormat="1" applyFont="1" applyAlignment="1">
      <alignment horizontal="center" vertical="center"/>
    </xf>
    <xf numFmtId="0" fontId="136" fillId="0" borderId="0" xfId="4" applyFont="1" applyAlignment="1">
      <alignment horizontal="center" vertical="center"/>
    </xf>
    <xf numFmtId="167" fontId="10" fillId="0" borderId="0" xfId="4" applyNumberFormat="1" applyFont="1" applyAlignment="1">
      <alignment horizontal="center" vertical="center" wrapText="1"/>
    </xf>
    <xf numFmtId="0" fontId="38" fillId="0" borderId="41" xfId="4" applyFont="1" applyBorder="1" applyAlignment="1">
      <alignment horizontal="center" vertical="center" wrapText="1"/>
    </xf>
    <xf numFmtId="0" fontId="38" fillId="0" borderId="1" xfId="4" applyFont="1" applyBorder="1" applyAlignment="1">
      <alignment horizontal="center" vertical="center" wrapText="1"/>
    </xf>
    <xf numFmtId="3" fontId="133" fillId="0" borderId="1" xfId="4" applyNumberFormat="1" applyFont="1" applyBorder="1" applyAlignment="1">
      <alignment horizontal="center" vertical="center" wrapText="1"/>
    </xf>
    <xf numFmtId="3" fontId="15" fillId="0" borderId="1" xfId="0" applyNumberFormat="1" applyFont="1" applyBorder="1" applyAlignment="1">
      <alignment horizontal="center" vertical="center" wrapText="1"/>
    </xf>
    <xf numFmtId="3" fontId="38" fillId="0" borderId="1" xfId="4" applyNumberFormat="1" applyFont="1" applyBorder="1" applyAlignment="1">
      <alignment horizontal="center" vertical="center" wrapText="1"/>
    </xf>
    <xf numFmtId="167" fontId="38" fillId="0" borderId="0" xfId="4" applyNumberFormat="1" applyFont="1" applyAlignment="1">
      <alignment horizontal="center" vertical="center"/>
    </xf>
    <xf numFmtId="0" fontId="38" fillId="0" borderId="0" xfId="4" applyFont="1" applyAlignment="1">
      <alignment horizontal="center" vertical="center"/>
    </xf>
    <xf numFmtId="167" fontId="11" fillId="0" borderId="0" xfId="4" applyNumberFormat="1" applyFont="1" applyAlignment="1">
      <alignment vertical="center"/>
    </xf>
    <xf numFmtId="167" fontId="56" fillId="0" borderId="0" xfId="0" applyNumberFormat="1" applyFont="1"/>
    <xf numFmtId="167" fontId="140" fillId="0" borderId="0" xfId="0" applyNumberFormat="1" applyFont="1"/>
    <xf numFmtId="167" fontId="11" fillId="0" borderId="0" xfId="4" applyNumberFormat="1" applyFont="1" applyAlignment="1">
      <alignment horizontal="centerContinuous" vertical="center"/>
    </xf>
    <xf numFmtId="0" fontId="131" fillId="0" borderId="0" xfId="0" applyFont="1" applyAlignment="1">
      <alignment vertical="center"/>
    </xf>
    <xf numFmtId="0" fontId="131" fillId="0" borderId="0" xfId="0" applyFont="1" applyAlignment="1">
      <alignment wrapText="1"/>
    </xf>
    <xf numFmtId="0" fontId="131" fillId="0" borderId="0" xfId="0" applyFont="1" applyAlignment="1">
      <alignment horizontal="center"/>
    </xf>
    <xf numFmtId="0" fontId="131" fillId="0" borderId="9" xfId="0" applyFont="1" applyBorder="1" applyAlignment="1">
      <alignment horizontal="center" vertical="center"/>
    </xf>
    <xf numFmtId="0" fontId="131" fillId="0" borderId="9" xfId="0" applyFont="1" applyBorder="1" applyAlignment="1">
      <alignment vertical="center"/>
    </xf>
    <xf numFmtId="0" fontId="131" fillId="0" borderId="7" xfId="0" applyFont="1" applyBorder="1" applyAlignment="1">
      <alignment horizontal="center" vertical="center"/>
    </xf>
    <xf numFmtId="0" fontId="71" fillId="0" borderId="0" xfId="0" applyFont="1"/>
    <xf numFmtId="0" fontId="131" fillId="0" borderId="15" xfId="0" applyFont="1" applyBorder="1" applyAlignment="1">
      <alignment vertical="center"/>
    </xf>
    <xf numFmtId="0" fontId="131" fillId="0" borderId="8" xfId="0" applyFont="1" applyBorder="1" applyAlignment="1">
      <alignment vertical="center"/>
    </xf>
    <xf numFmtId="0" fontId="11" fillId="0" borderId="0" xfId="0" applyFont="1" applyAlignment="1">
      <alignment vertical="center"/>
    </xf>
    <xf numFmtId="0" fontId="20" fillId="0" borderId="0" xfId="41" applyFont="1" applyAlignment="1">
      <alignment horizontal="center" vertical="center"/>
    </xf>
    <xf numFmtId="49" fontId="10" fillId="0" borderId="0" xfId="41" applyNumberFormat="1" applyFont="1" applyAlignment="1">
      <alignment vertical="center"/>
    </xf>
    <xf numFmtId="49" fontId="20" fillId="0" borderId="0" xfId="41" applyNumberFormat="1" applyFont="1" applyAlignment="1">
      <alignment vertical="center"/>
    </xf>
    <xf numFmtId="0" fontId="20" fillId="0" borderId="0" xfId="41" applyFont="1" applyAlignment="1">
      <alignment vertical="center"/>
    </xf>
    <xf numFmtId="0" fontId="10" fillId="0" borderId="0" xfId="41" applyFont="1" applyAlignment="1">
      <alignment horizontal="center" vertical="center"/>
    </xf>
    <xf numFmtId="0" fontId="10" fillId="0" borderId="0" xfId="41" applyFont="1" applyAlignment="1">
      <alignment vertical="center"/>
    </xf>
    <xf numFmtId="0" fontId="17" fillId="0" borderId="0" xfId="0" applyFont="1" applyAlignment="1">
      <alignment horizontal="left"/>
    </xf>
    <xf numFmtId="0" fontId="21" fillId="0" borderId="1" xfId="0" applyFont="1" applyBorder="1" applyAlignment="1">
      <alignment horizontal="center" vertical="center" wrapText="1"/>
    </xf>
    <xf numFmtId="0" fontId="141" fillId="0" borderId="1" xfId="0" applyFont="1" applyBorder="1" applyAlignment="1">
      <alignment horizontal="center" vertical="center" wrapText="1"/>
    </xf>
    <xf numFmtId="0" fontId="21" fillId="0" borderId="0" xfId="0" applyFont="1" applyAlignment="1">
      <alignment vertical="center"/>
    </xf>
    <xf numFmtId="0" fontId="131" fillId="0" borderId="7" xfId="2" applyFont="1" applyBorder="1" applyAlignment="1">
      <alignment horizontal="left" vertical="center" wrapText="1"/>
    </xf>
    <xf numFmtId="0" fontId="131" fillId="0" borderId="7" xfId="2" applyFont="1" applyBorder="1" applyAlignment="1">
      <alignment horizontal="justify" vertical="center" wrapText="1"/>
    </xf>
    <xf numFmtId="0" fontId="103" fillId="0" borderId="0" xfId="0" applyFont="1" applyAlignment="1">
      <alignment vertical="center"/>
    </xf>
    <xf numFmtId="0" fontId="11" fillId="0" borderId="7" xfId="0" applyFont="1" applyBorder="1" applyAlignment="1">
      <alignment horizontal="center" vertical="center" wrapText="1"/>
    </xf>
    <xf numFmtId="0" fontId="103" fillId="0" borderId="0" xfId="0" applyFont="1"/>
    <xf numFmtId="0" fontId="131" fillId="0" borderId="7" xfId="0" applyFont="1" applyBorder="1" applyAlignment="1">
      <alignment horizontal="left" vertical="center" wrapText="1"/>
    </xf>
    <xf numFmtId="0" fontId="131" fillId="0" borderId="15" xfId="0" applyFont="1" applyBorder="1" applyAlignment="1">
      <alignment vertical="center" wrapText="1"/>
    </xf>
    <xf numFmtId="0" fontId="17" fillId="0" borderId="15" xfId="0" applyFont="1" applyBorder="1" applyAlignment="1">
      <alignment horizontal="left" vertical="center" wrapText="1"/>
    </xf>
    <xf numFmtId="0" fontId="131" fillId="0" borderId="8" xfId="0" applyFont="1" applyBorder="1" applyAlignment="1">
      <alignment horizontal="center" vertical="center" wrapText="1"/>
    </xf>
    <xf numFmtId="0" fontId="131" fillId="0" borderId="8" xfId="0" applyFont="1" applyBorder="1" applyAlignment="1">
      <alignment horizontal="left" vertical="center" wrapText="1"/>
    </xf>
    <xf numFmtId="0" fontId="142" fillId="0" borderId="0" xfId="0" applyFont="1" applyAlignment="1">
      <alignment horizontal="center" vertical="center"/>
    </xf>
    <xf numFmtId="0" fontId="142" fillId="0" borderId="0" xfId="0" applyFont="1" applyAlignment="1">
      <alignment vertical="center"/>
    </xf>
    <xf numFmtId="0" fontId="142" fillId="0" borderId="0" xfId="0" applyFont="1" applyAlignment="1">
      <alignment horizontal="left" vertical="center" indent="15"/>
    </xf>
    <xf numFmtId="0" fontId="142" fillId="0" borderId="1" xfId="0" applyFont="1" applyBorder="1" applyAlignment="1">
      <alignment horizontal="left" vertical="center" wrapText="1"/>
    </xf>
    <xf numFmtId="0" fontId="143" fillId="0" borderId="1" xfId="0" applyFont="1" applyBorder="1" applyAlignment="1">
      <alignment horizontal="center" vertical="center" wrapText="1"/>
    </xf>
    <xf numFmtId="0" fontId="143" fillId="0" borderId="1" xfId="0" applyFont="1" applyBorder="1" applyAlignment="1">
      <alignment horizontal="left" vertical="center" wrapText="1"/>
    </xf>
    <xf numFmtId="0" fontId="143" fillId="0" borderId="1" xfId="0" applyFont="1" applyBorder="1" applyAlignment="1">
      <alignment horizontal="left" vertical="center" wrapText="1" indent="2"/>
    </xf>
    <xf numFmtId="0" fontId="0" fillId="0" borderId="1" xfId="0" applyBorder="1" applyAlignment="1">
      <alignment vertical="top" wrapText="1"/>
    </xf>
    <xf numFmtId="0" fontId="143" fillId="0" borderId="1" xfId="0" applyFont="1" applyBorder="1" applyAlignment="1">
      <alignment horizontal="left" vertical="center" wrapText="1" indent="1"/>
    </xf>
    <xf numFmtId="0" fontId="144" fillId="0" borderId="1" xfId="0" applyFont="1" applyBorder="1" applyAlignment="1">
      <alignment horizontal="left" vertical="center" wrapText="1"/>
    </xf>
    <xf numFmtId="3" fontId="142" fillId="0" borderId="1" xfId="0" applyNumberFormat="1" applyFont="1" applyBorder="1" applyAlignment="1">
      <alignment horizontal="right" vertical="center" wrapText="1"/>
    </xf>
    <xf numFmtId="0" fontId="142" fillId="0" borderId="1" xfId="0" applyFont="1" applyBorder="1" applyAlignment="1">
      <alignment horizontal="right" vertical="center" wrapText="1"/>
    </xf>
    <xf numFmtId="0" fontId="142" fillId="0" borderId="1" xfId="0" applyFont="1" applyBorder="1" applyAlignment="1">
      <alignment horizontal="center" vertical="center" wrapText="1"/>
    </xf>
    <xf numFmtId="0" fontId="142" fillId="0" borderId="1" xfId="0" applyFont="1" applyBorder="1" applyAlignment="1">
      <alignment horizontal="left" vertical="center" wrapText="1" indent="3"/>
    </xf>
    <xf numFmtId="0" fontId="142" fillId="0" borderId="1" xfId="0" applyFont="1" applyBorder="1"/>
    <xf numFmtId="0" fontId="142" fillId="0" borderId="1" xfId="0" applyFont="1" applyBorder="1" applyAlignment="1">
      <alignment horizontal="left" vertical="center" wrapText="1" indent="4"/>
    </xf>
    <xf numFmtId="0" fontId="142" fillId="0" borderId="1" xfId="0" applyFont="1" applyBorder="1" applyAlignment="1">
      <alignment horizontal="left" vertical="center" wrapText="1" indent="2"/>
    </xf>
    <xf numFmtId="4" fontId="47" fillId="26" borderId="7" xfId="0" applyNumberFormat="1" applyFont="1" applyFill="1" applyBorder="1" applyAlignment="1">
      <alignment horizontal="right" vertical="center" wrapText="1"/>
    </xf>
    <xf numFmtId="4" fontId="47" fillId="26" borderId="8" xfId="0" applyNumberFormat="1" applyFont="1" applyFill="1" applyBorder="1" applyAlignment="1">
      <alignment horizontal="right" vertical="center" wrapText="1"/>
    </xf>
    <xf numFmtId="3" fontId="55" fillId="0" borderId="0" xfId="0" applyNumberFormat="1" applyFont="1"/>
    <xf numFmtId="209" fontId="38" fillId="26" borderId="0" xfId="0" applyNumberFormat="1" applyFont="1" applyFill="1"/>
    <xf numFmtId="0" fontId="11" fillId="0" borderId="13" xfId="0" applyFont="1" applyBorder="1" applyAlignment="1">
      <alignment horizontal="right" vertical="center"/>
    </xf>
    <xf numFmtId="174" fontId="47" fillId="0" borderId="0" xfId="10" applyNumberFormat="1" applyFont="1" applyAlignment="1">
      <alignment vertical="center"/>
    </xf>
    <xf numFmtId="165" fontId="10" fillId="0" borderId="7" xfId="10" applyFont="1" applyFill="1" applyBorder="1" applyAlignment="1">
      <alignment horizontal="right" vertical="center" wrapText="1"/>
    </xf>
    <xf numFmtId="184" fontId="50" fillId="0" borderId="0" xfId="11" applyNumberFormat="1" applyFont="1" applyFill="1"/>
    <xf numFmtId="0" fontId="147" fillId="26" borderId="0" xfId="0" applyFont="1" applyFill="1"/>
    <xf numFmtId="0" fontId="22" fillId="26" borderId="0" xfId="0" applyFont="1" applyFill="1"/>
    <xf numFmtId="3" fontId="17" fillId="0" borderId="1" xfId="0" applyNumberFormat="1" applyFont="1" applyBorder="1" applyAlignment="1">
      <alignment horizontal="center" vertical="center" wrapText="1"/>
    </xf>
    <xf numFmtId="165" fontId="17" fillId="0" borderId="1" xfId="10" applyFont="1" applyBorder="1" applyAlignment="1">
      <alignment horizontal="center" vertical="center" wrapText="1"/>
    </xf>
    <xf numFmtId="49" fontId="38" fillId="0" borderId="7" xfId="11" applyNumberFormat="1" applyFont="1" applyFill="1" applyBorder="1" applyAlignment="1">
      <alignment vertical="center" wrapText="1"/>
    </xf>
    <xf numFmtId="3" fontId="38" fillId="0" borderId="7" xfId="11" applyNumberFormat="1" applyFont="1" applyFill="1" applyBorder="1" applyAlignment="1">
      <alignment horizontal="center" vertical="center" wrapText="1"/>
    </xf>
    <xf numFmtId="49" fontId="38" fillId="0" borderId="7" xfId="11" applyNumberFormat="1" applyFont="1" applyFill="1" applyBorder="1" applyAlignment="1">
      <alignment horizontal="left" vertical="center" wrapText="1"/>
    </xf>
    <xf numFmtId="3" fontId="38" fillId="0" borderId="7" xfId="0" applyNumberFormat="1" applyFont="1" applyBorder="1" applyAlignment="1">
      <alignment vertical="center" wrapText="1"/>
    </xf>
    <xf numFmtId="258" fontId="39" fillId="0" borderId="7" xfId="11" applyNumberFormat="1" applyFont="1" applyFill="1" applyBorder="1" applyAlignment="1">
      <alignment vertical="center" wrapText="1"/>
    </xf>
    <xf numFmtId="49" fontId="39" fillId="0" borderId="7" xfId="11" applyNumberFormat="1" applyFont="1" applyFill="1" applyBorder="1" applyAlignment="1">
      <alignment vertical="center" wrapText="1"/>
    </xf>
    <xf numFmtId="0" fontId="37" fillId="0" borderId="6" xfId="0" applyFont="1" applyBorder="1" applyAlignment="1">
      <alignment horizontal="justify" vertical="center" wrapText="1"/>
    </xf>
    <xf numFmtId="165" fontId="38" fillId="0" borderId="7" xfId="10" applyFont="1" applyBorder="1" applyAlignment="1">
      <alignment horizontal="center" vertical="center" wrapText="1"/>
    </xf>
    <xf numFmtId="3" fontId="38" fillId="3" borderId="7" xfId="0" applyNumberFormat="1" applyFont="1" applyFill="1" applyBorder="1" applyAlignment="1">
      <alignment horizontal="justify"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183" fontId="10" fillId="0" borderId="1" xfId="0" applyNumberFormat="1" applyFont="1" applyBorder="1" applyAlignment="1">
      <alignment vertical="center" wrapText="1"/>
    </xf>
    <xf numFmtId="183" fontId="47" fillId="0" borderId="0" xfId="0" applyNumberFormat="1" applyFont="1"/>
    <xf numFmtId="49" fontId="44" fillId="3" borderId="1" xfId="0" quotePrefix="1" applyNumberFormat="1" applyFont="1" applyFill="1" applyBorder="1" applyAlignment="1">
      <alignment horizontal="center" vertical="center" wrapText="1"/>
    </xf>
    <xf numFmtId="0" fontId="44" fillId="3" borderId="1" xfId="0" applyFont="1" applyFill="1" applyBorder="1" applyAlignment="1">
      <alignment horizontal="left" vertical="center" wrapText="1"/>
    </xf>
    <xf numFmtId="4" fontId="10" fillId="3" borderId="1" xfId="0" applyNumberFormat="1" applyFont="1" applyFill="1" applyBorder="1"/>
    <xf numFmtId="166" fontId="17" fillId="0" borderId="16" xfId="11" applyFont="1" applyFill="1" applyBorder="1" applyAlignment="1">
      <alignment horizontal="center"/>
    </xf>
    <xf numFmtId="165" fontId="10" fillId="0" borderId="1" xfId="0" applyNumberFormat="1" applyFont="1" applyBorder="1" applyAlignment="1">
      <alignment horizontal="center" vertical="center" wrapText="1"/>
    </xf>
    <xf numFmtId="166" fontId="17" fillId="0" borderId="16" xfId="11" applyFont="1" applyFill="1" applyBorder="1"/>
    <xf numFmtId="183" fontId="10" fillId="0" borderId="1" xfId="10" applyNumberFormat="1" applyFont="1" applyFill="1" applyBorder="1" applyAlignment="1">
      <alignment horizontal="right" vertical="center" wrapText="1"/>
    </xf>
    <xf numFmtId="0" fontId="10" fillId="0" borderId="1" xfId="0" applyFont="1" applyBorder="1" applyAlignment="1">
      <alignment horizontal="left" vertical="center" wrapText="1"/>
    </xf>
    <xf numFmtId="0" fontId="40" fillId="0" borderId="1" xfId="0" applyFont="1" applyBorder="1" applyAlignment="1">
      <alignment horizontal="left" vertical="center" wrapText="1"/>
    </xf>
    <xf numFmtId="1" fontId="17" fillId="0" borderId="1" xfId="0" applyNumberFormat="1" applyFont="1" applyBorder="1" applyAlignment="1">
      <alignment horizontal="center" vertical="center" wrapText="1"/>
    </xf>
    <xf numFmtId="1" fontId="17" fillId="0" borderId="1" xfId="86" applyNumberFormat="1" applyFont="1" applyBorder="1" applyAlignment="1">
      <alignment horizontal="center" vertical="center" wrapText="1"/>
    </xf>
    <xf numFmtId="49" fontId="44" fillId="0" borderId="1" xfId="0" quotePrefix="1" applyNumberFormat="1" applyFont="1" applyBorder="1" applyAlignment="1">
      <alignment horizontal="center" vertical="center" wrapText="1"/>
    </xf>
    <xf numFmtId="0" fontId="44" fillId="0" borderId="1" xfId="0" applyFont="1" applyBorder="1" applyAlignment="1">
      <alignment horizontal="left" vertical="center" wrapText="1"/>
    </xf>
    <xf numFmtId="49" fontId="40" fillId="0" borderId="1" xfId="0" quotePrefix="1" applyNumberFormat="1" applyFont="1" applyBorder="1" applyAlignment="1">
      <alignment horizontal="center" vertical="center" wrapText="1"/>
    </xf>
    <xf numFmtId="0" fontId="80" fillId="0" borderId="1" xfId="0" applyFont="1" applyBorder="1" applyAlignment="1">
      <alignment horizontal="center" vertical="center" wrapText="1"/>
    </xf>
    <xf numFmtId="1" fontId="40" fillId="0" borderId="1" xfId="86" applyNumberFormat="1" applyFont="1" applyBorder="1" applyAlignment="1">
      <alignment horizontal="center" vertical="center" wrapText="1"/>
    </xf>
    <xf numFmtId="4" fontId="80" fillId="0" borderId="1" xfId="0" applyNumberFormat="1" applyFont="1" applyBorder="1" applyAlignment="1">
      <alignment vertical="center" wrapText="1"/>
    </xf>
    <xf numFmtId="4" fontId="17" fillId="0" borderId="1" xfId="0" applyNumberFormat="1" applyFont="1" applyBorder="1" applyAlignment="1">
      <alignment vertical="center" wrapText="1"/>
    </xf>
    <xf numFmtId="0" fontId="40" fillId="0" borderId="1" xfId="0" applyFont="1" applyBorder="1" applyAlignment="1">
      <alignment horizontal="center" vertical="center" wrapText="1"/>
    </xf>
    <xf numFmtId="0" fontId="17" fillId="0" borderId="1" xfId="0" applyFont="1" applyBorder="1" applyAlignment="1">
      <alignment horizontal="center" vertical="center"/>
    </xf>
    <xf numFmtId="4" fontId="40" fillId="0" borderId="1" xfId="0" applyNumberFormat="1" applyFont="1" applyBorder="1" applyAlignment="1">
      <alignment vertical="center"/>
    </xf>
    <xf numFmtId="236" fontId="17" fillId="0" borderId="0" xfId="0" applyNumberFormat="1" applyFont="1"/>
    <xf numFmtId="259" fontId="17" fillId="26" borderId="0" xfId="0" applyNumberFormat="1" applyFont="1" applyFill="1"/>
    <xf numFmtId="260" fontId="38" fillId="0" borderId="0" xfId="11" applyNumberFormat="1" applyFont="1" applyFill="1"/>
    <xf numFmtId="259" fontId="17" fillId="0" borderId="0" xfId="0" applyNumberFormat="1" applyFont="1"/>
    <xf numFmtId="0" fontId="47" fillId="3" borderId="0" xfId="0" applyFont="1" applyFill="1" applyAlignment="1">
      <alignment horizontal="center"/>
    </xf>
    <xf numFmtId="9" fontId="47" fillId="3" borderId="0" xfId="65" applyFont="1" applyFill="1" applyAlignment="1">
      <alignment horizontal="center"/>
    </xf>
    <xf numFmtId="0" fontId="55" fillId="3" borderId="13" xfId="0" applyFont="1" applyFill="1" applyBorder="1" applyAlignment="1">
      <alignment horizontal="right" vertical="center"/>
    </xf>
    <xf numFmtId="0" fontId="50" fillId="3" borderId="1" xfId="0" applyFont="1" applyFill="1" applyBorder="1" applyAlignment="1">
      <alignment horizontal="center" vertical="center" wrapText="1"/>
    </xf>
    <xf numFmtId="9" fontId="50" fillId="3" borderId="1" xfId="65" applyFont="1" applyFill="1" applyBorder="1" applyAlignment="1">
      <alignment horizontal="center" vertical="center" wrapText="1"/>
    </xf>
    <xf numFmtId="0" fontId="10" fillId="3" borderId="1" xfId="10" applyNumberFormat="1" applyFont="1" applyFill="1" applyBorder="1" applyAlignment="1">
      <alignment horizontal="center" vertical="center" wrapText="1"/>
    </xf>
    <xf numFmtId="165" fontId="50" fillId="3" borderId="1" xfId="0" applyNumberFormat="1" applyFont="1" applyFill="1" applyBorder="1" applyAlignment="1">
      <alignment horizontal="center" vertical="center" wrapText="1"/>
    </xf>
    <xf numFmtId="0" fontId="50" fillId="3" borderId="1" xfId="0" applyFont="1" applyFill="1" applyBorder="1" applyAlignment="1">
      <alignment vertical="center" wrapText="1"/>
    </xf>
    <xf numFmtId="4" fontId="50" fillId="3" borderId="1" xfId="11" applyNumberFormat="1" applyFont="1" applyFill="1" applyBorder="1" applyAlignment="1">
      <alignment vertical="center"/>
    </xf>
    <xf numFmtId="4" fontId="50" fillId="3" borderId="1" xfId="10" applyNumberFormat="1" applyFont="1" applyFill="1" applyBorder="1" applyAlignment="1">
      <alignment vertical="center" wrapText="1"/>
    </xf>
    <xf numFmtId="0" fontId="10" fillId="3" borderId="1" xfId="0" applyFont="1" applyFill="1" applyBorder="1" applyAlignment="1">
      <alignment vertical="center"/>
    </xf>
    <xf numFmtId="4" fontId="10" fillId="3" borderId="1" xfId="11" applyNumberFormat="1" applyFont="1" applyFill="1" applyBorder="1" applyAlignment="1">
      <alignment horizontal="right" vertical="center"/>
    </xf>
    <xf numFmtId="4" fontId="50" fillId="3" borderId="1" xfId="11" applyNumberFormat="1" applyFont="1" applyFill="1" applyBorder="1" applyAlignment="1">
      <alignment horizontal="center" vertical="center"/>
    </xf>
    <xf numFmtId="4" fontId="50" fillId="3" borderId="1" xfId="11" applyNumberFormat="1" applyFont="1" applyFill="1" applyBorder="1" applyAlignment="1">
      <alignment horizontal="right" vertical="center"/>
    </xf>
    <xf numFmtId="4" fontId="50" fillId="3" borderId="1" xfId="10" applyNumberFormat="1" applyFont="1" applyFill="1" applyBorder="1" applyAlignment="1">
      <alignment horizontal="right" vertical="center" wrapText="1"/>
    </xf>
    <xf numFmtId="0" fontId="47" fillId="3" borderId="1" xfId="0" applyFont="1" applyFill="1" applyBorder="1" applyAlignment="1">
      <alignment horizontal="center" vertical="center"/>
    </xf>
    <xf numFmtId="0" fontId="17" fillId="3" borderId="1" xfId="0" applyFont="1" applyFill="1" applyBorder="1" applyAlignment="1">
      <alignment vertical="center"/>
    </xf>
    <xf numFmtId="4" fontId="47" fillId="3" borderId="1" xfId="0" applyNumberFormat="1" applyFont="1" applyFill="1" applyBorder="1" applyAlignment="1">
      <alignment vertical="center"/>
    </xf>
    <xf numFmtId="183" fontId="17" fillId="3" borderId="1" xfId="79" applyNumberFormat="1" applyFont="1" applyFill="1" applyBorder="1" applyAlignment="1">
      <alignment horizontal="justify" vertical="center" wrapText="1"/>
    </xf>
    <xf numFmtId="4" fontId="17" fillId="3" borderId="1" xfId="11" applyNumberFormat="1" applyFont="1" applyFill="1" applyBorder="1" applyAlignment="1">
      <alignment horizontal="center" vertical="center"/>
    </xf>
    <xf numFmtId="4" fontId="47" fillId="3" borderId="1" xfId="11" applyNumberFormat="1" applyFont="1" applyFill="1" applyBorder="1" applyAlignment="1">
      <alignment horizontal="right" vertical="center"/>
    </xf>
    <xf numFmtId="4" fontId="47" fillId="3" borderId="1" xfId="10" applyNumberFormat="1" applyFont="1" applyFill="1" applyBorder="1" applyAlignment="1">
      <alignment horizontal="right" vertical="center" wrapText="1"/>
    </xf>
    <xf numFmtId="0" fontId="13" fillId="3" borderId="0" xfId="0" applyFont="1" applyFill="1" applyAlignment="1">
      <alignment horizontal="center" wrapText="1"/>
    </xf>
    <xf numFmtId="4" fontId="17" fillId="3" borderId="1" xfId="10" applyNumberFormat="1" applyFont="1" applyFill="1" applyBorder="1"/>
    <xf numFmtId="0" fontId="13" fillId="3" borderId="11" xfId="0" applyFont="1" applyFill="1" applyBorder="1" applyAlignment="1">
      <alignment horizontal="center" wrapText="1"/>
    </xf>
    <xf numFmtId="0" fontId="17" fillId="3" borderId="1" xfId="0" applyFont="1" applyFill="1" applyBorder="1" applyAlignment="1">
      <alignment horizontal="center"/>
    </xf>
    <xf numFmtId="4" fontId="50" fillId="3" borderId="1" xfId="11" applyNumberFormat="1" applyFont="1" applyFill="1" applyBorder="1" applyAlignment="1">
      <alignment horizontal="right"/>
    </xf>
    <xf numFmtId="0" fontId="40" fillId="3" borderId="1" xfId="0" applyFont="1" applyFill="1" applyBorder="1" applyAlignment="1">
      <alignment horizontal="center" vertical="center"/>
    </xf>
    <xf numFmtId="0" fontId="13" fillId="3" borderId="1" xfId="0" applyFont="1" applyFill="1" applyBorder="1" applyAlignment="1">
      <alignment horizontal="center" wrapText="1"/>
    </xf>
    <xf numFmtId="4" fontId="17" fillId="3" borderId="1" xfId="0" applyNumberFormat="1" applyFont="1" applyFill="1" applyBorder="1"/>
    <xf numFmtId="4" fontId="17" fillId="3" borderId="1" xfId="11" applyNumberFormat="1" applyFont="1" applyFill="1" applyBorder="1" applyAlignment="1">
      <alignment horizontal="right"/>
    </xf>
    <xf numFmtId="4" fontId="17" fillId="3" borderId="1" xfId="11" applyNumberFormat="1" applyFont="1" applyFill="1" applyBorder="1" applyAlignment="1">
      <alignment horizontal="right" vertical="center"/>
    </xf>
    <xf numFmtId="4" fontId="10" fillId="3" borderId="1" xfId="10" applyNumberFormat="1" applyFont="1" applyFill="1" applyBorder="1" applyAlignment="1">
      <alignment horizontal="right" vertical="center" wrapText="1"/>
    </xf>
    <xf numFmtId="4" fontId="17" fillId="3" borderId="1" xfId="0" applyNumberFormat="1" applyFont="1" applyFill="1" applyBorder="1" applyAlignment="1">
      <alignment horizontal="right"/>
    </xf>
    <xf numFmtId="4" fontId="10" fillId="3" borderId="1" xfId="11" applyNumberFormat="1" applyFont="1" applyFill="1" applyBorder="1" applyAlignment="1">
      <alignment horizontal="right"/>
    </xf>
    <xf numFmtId="4" fontId="44" fillId="3" borderId="1" xfId="11" applyNumberFormat="1" applyFont="1" applyFill="1" applyBorder="1" applyAlignment="1">
      <alignment horizontal="right"/>
    </xf>
    <xf numFmtId="4" fontId="17" fillId="3" borderId="1" xfId="11" applyNumberFormat="1" applyFont="1" applyFill="1" applyBorder="1" applyAlignment="1"/>
    <xf numFmtId="4" fontId="40" fillId="3" borderId="1" xfId="0" applyNumberFormat="1" applyFont="1" applyFill="1" applyBorder="1" applyAlignment="1">
      <alignment horizontal="right"/>
    </xf>
    <xf numFmtId="4" fontId="17" fillId="3" borderId="1" xfId="10" applyNumberFormat="1" applyFont="1" applyFill="1" applyBorder="1" applyAlignment="1">
      <alignment horizontal="right" vertical="center" wrapText="1"/>
    </xf>
    <xf numFmtId="4" fontId="40" fillId="3" borderId="1" xfId="0" applyNumberFormat="1" applyFont="1" applyFill="1" applyBorder="1"/>
    <xf numFmtId="4" fontId="40" fillId="3" borderId="1" xfId="11" applyNumberFormat="1" applyFont="1" applyFill="1" applyBorder="1" applyAlignment="1">
      <alignment horizontal="right"/>
    </xf>
    <xf numFmtId="0" fontId="8" fillId="3" borderId="1" xfId="0" applyFont="1" applyFill="1" applyBorder="1" applyAlignment="1">
      <alignment horizontal="center" vertical="center" wrapText="1"/>
    </xf>
    <xf numFmtId="183" fontId="40" fillId="3" borderId="1" xfId="79" applyNumberFormat="1" applyFont="1" applyFill="1" applyBorder="1" applyAlignment="1">
      <alignment horizontal="justify" vertical="center" wrapText="1"/>
    </xf>
    <xf numFmtId="1" fontId="17" fillId="3" borderId="1" xfId="79" applyNumberFormat="1" applyFont="1" applyFill="1" applyBorder="1" applyAlignment="1">
      <alignment horizontal="justify" vertical="center" wrapText="1"/>
    </xf>
    <xf numFmtId="4" fontId="44" fillId="3" borderId="1" xfId="0" applyNumberFormat="1" applyFont="1" applyFill="1" applyBorder="1"/>
    <xf numFmtId="0" fontId="40" fillId="3" borderId="10" xfId="0" applyFont="1" applyFill="1" applyBorder="1" applyAlignment="1">
      <alignment horizontal="center" vertical="center"/>
    </xf>
    <xf numFmtId="183" fontId="38" fillId="0" borderId="0" xfId="0" applyNumberFormat="1" applyFont="1"/>
    <xf numFmtId="167" fontId="80" fillId="0" borderId="7" xfId="0" applyNumberFormat="1" applyFont="1" applyBorder="1" applyAlignment="1">
      <alignment horizontal="right" vertical="center" wrapText="1"/>
    </xf>
    <xf numFmtId="167" fontId="113" fillId="0" borderId="7" xfId="0" applyNumberFormat="1" applyFont="1" applyBorder="1" applyAlignment="1">
      <alignment horizontal="right" vertical="center" wrapText="1"/>
    </xf>
    <xf numFmtId="0" fontId="146" fillId="0" borderId="0" xfId="0" applyFont="1"/>
    <xf numFmtId="249" fontId="146" fillId="0" borderId="0" xfId="0" applyNumberFormat="1" applyFont="1"/>
    <xf numFmtId="167" fontId="17" fillId="0" borderId="7" xfId="11" applyNumberFormat="1" applyFont="1" applyBorder="1" applyAlignment="1">
      <alignment horizontal="right" vertical="center" wrapText="1"/>
    </xf>
    <xf numFmtId="183" fontId="17" fillId="0" borderId="7" xfId="0" applyNumberFormat="1" applyFont="1" applyBorder="1" applyAlignment="1">
      <alignment horizontal="right" vertical="center" wrapText="1"/>
    </xf>
    <xf numFmtId="0" fontId="17" fillId="26" borderId="4" xfId="0" applyFont="1" applyFill="1" applyBorder="1" applyAlignment="1">
      <alignment vertical="center"/>
    </xf>
    <xf numFmtId="0" fontId="47" fillId="0" borderId="0" xfId="0" applyFont="1" applyAlignment="1">
      <alignment horizontal="left" wrapText="1"/>
    </xf>
    <xf numFmtId="0" fontId="47" fillId="3" borderId="8" xfId="0" applyFont="1" applyFill="1" applyBorder="1" applyAlignment="1">
      <alignment horizontal="left" vertical="center" wrapText="1"/>
    </xf>
    <xf numFmtId="0" fontId="17" fillId="0" borderId="0" xfId="0" applyFont="1" applyAlignment="1">
      <alignment horizontal="left" vertical="center" wrapText="1"/>
    </xf>
    <xf numFmtId="0" fontId="17" fillId="0" borderId="33" xfId="0" applyFont="1" applyBorder="1" applyAlignment="1">
      <alignment horizontal="center" vertical="center" wrapText="1"/>
    </xf>
    <xf numFmtId="0" fontId="10" fillId="0" borderId="1" xfId="0" applyFont="1" applyBorder="1" applyAlignment="1">
      <alignment horizontal="center" vertical="center"/>
    </xf>
    <xf numFmtId="0" fontId="17" fillId="0" borderId="1" xfId="0" applyFont="1" applyBorder="1" applyAlignment="1">
      <alignment vertical="center"/>
    </xf>
    <xf numFmtId="212" fontId="50" fillId="0" borderId="0" xfId="11" applyNumberFormat="1" applyFont="1" applyFill="1"/>
    <xf numFmtId="176" fontId="50" fillId="0" borderId="0" xfId="11" applyNumberFormat="1" applyFont="1" applyFill="1"/>
    <xf numFmtId="186" fontId="50" fillId="0" borderId="0" xfId="11" applyNumberFormat="1" applyFont="1" applyFill="1"/>
    <xf numFmtId="175" fontId="50" fillId="0" borderId="0" xfId="0" applyNumberFormat="1" applyFont="1"/>
    <xf numFmtId="189" fontId="50" fillId="0" borderId="0" xfId="0" applyNumberFormat="1" applyFont="1"/>
    <xf numFmtId="208" fontId="50" fillId="0" borderId="0" xfId="11" applyNumberFormat="1" applyFont="1" applyFill="1"/>
    <xf numFmtId="0" fontId="148" fillId="0" borderId="0" xfId="0" applyFont="1"/>
    <xf numFmtId="167" fontId="148" fillId="0" borderId="0" xfId="0" applyNumberFormat="1" applyFont="1"/>
    <xf numFmtId="4" fontId="148" fillId="0" borderId="0" xfId="0" applyNumberFormat="1" applyFont="1"/>
    <xf numFmtId="3" fontId="17" fillId="0" borderId="7" xfId="0" applyNumberFormat="1" applyFont="1" applyBorder="1" applyAlignment="1">
      <alignment vertical="center" wrapText="1"/>
    </xf>
    <xf numFmtId="166" fontId="113" fillId="0" borderId="7" xfId="11" applyFont="1" applyBorder="1" applyAlignment="1">
      <alignment horizontal="right" vertical="center" wrapText="1"/>
    </xf>
    <xf numFmtId="0" fontId="11" fillId="0" borderId="1" xfId="0" applyFont="1" applyBorder="1" applyAlignment="1">
      <alignment horizontal="center" vertical="center" wrapText="1"/>
    </xf>
    <xf numFmtId="176" fontId="11" fillId="0" borderId="0" xfId="11" applyNumberFormat="1" applyFont="1"/>
    <xf numFmtId="166" fontId="11" fillId="0" borderId="0" xfId="11" applyFont="1"/>
    <xf numFmtId="9" fontId="11" fillId="0" borderId="0" xfId="65" applyFont="1"/>
    <xf numFmtId="208" fontId="11" fillId="0" borderId="0" xfId="11" applyNumberFormat="1" applyFont="1"/>
    <xf numFmtId="0" fontId="11" fillId="0" borderId="0" xfId="0" applyFont="1"/>
    <xf numFmtId="3" fontId="11" fillId="0" borderId="0" xfId="0" applyNumberFormat="1" applyFont="1"/>
    <xf numFmtId="0" fontId="83" fillId="3" borderId="0" xfId="0" applyFont="1" applyFill="1" applyAlignment="1">
      <alignment wrapText="1"/>
    </xf>
    <xf numFmtId="0" fontId="85" fillId="3" borderId="0" xfId="0" applyFont="1" applyFill="1" applyAlignment="1">
      <alignment wrapText="1"/>
    </xf>
    <xf numFmtId="0" fontId="10" fillId="3" borderId="0" xfId="0" applyFont="1" applyFill="1" applyAlignment="1">
      <alignment horizontal="right" vertical="center" wrapText="1"/>
    </xf>
    <xf numFmtId="0" fontId="47" fillId="3" borderId="0" xfId="0" applyFont="1" applyFill="1" applyAlignment="1">
      <alignment wrapText="1"/>
    </xf>
    <xf numFmtId="167" fontId="83" fillId="3" borderId="0" xfId="0" applyNumberFormat="1" applyFont="1" applyFill="1" applyAlignment="1">
      <alignment wrapText="1"/>
    </xf>
    <xf numFmtId="0" fontId="48" fillId="3" borderId="0" xfId="0" applyFont="1" applyFill="1" applyAlignment="1">
      <alignment wrapText="1"/>
    </xf>
    <xf numFmtId="237" fontId="29" fillId="3" borderId="0" xfId="0" applyNumberFormat="1" applyFont="1" applyFill="1" applyAlignment="1">
      <alignment wrapText="1"/>
    </xf>
    <xf numFmtId="0" fontId="29" fillId="3" borderId="0" xfId="0" applyFont="1" applyFill="1" applyAlignment="1">
      <alignment wrapText="1"/>
    </xf>
    <xf numFmtId="183" fontId="47" fillId="3" borderId="1" xfId="0" applyNumberFormat="1" applyFont="1" applyFill="1" applyBorder="1" applyAlignment="1">
      <alignment horizontal="right" vertical="center" wrapText="1"/>
    </xf>
    <xf numFmtId="167" fontId="47" fillId="3" borderId="1" xfId="0" applyNumberFormat="1" applyFont="1" applyFill="1" applyBorder="1" applyAlignment="1">
      <alignment vertical="center" wrapText="1"/>
    </xf>
    <xf numFmtId="167" fontId="50" fillId="3" borderId="1" xfId="0" applyNumberFormat="1" applyFont="1" applyFill="1" applyBorder="1" applyAlignment="1">
      <alignment vertical="center" wrapText="1"/>
    </xf>
    <xf numFmtId="4" fontId="50" fillId="3" borderId="1" xfId="0" applyNumberFormat="1" applyFont="1" applyFill="1" applyBorder="1" applyAlignment="1">
      <alignment horizontal="right" vertical="center" wrapText="1"/>
    </xf>
    <xf numFmtId="0" fontId="47" fillId="3" borderId="1" xfId="0" applyFont="1" applyFill="1" applyBorder="1" applyAlignment="1">
      <alignment horizontal="center" wrapText="1"/>
    </xf>
    <xf numFmtId="0" fontId="55" fillId="3" borderId="1" xfId="0" applyFont="1" applyFill="1" applyBorder="1" applyAlignment="1">
      <alignment wrapText="1"/>
    </xf>
    <xf numFmtId="183" fontId="50" fillId="3" borderId="1" xfId="0" applyNumberFormat="1" applyFont="1" applyFill="1" applyBorder="1" applyAlignment="1">
      <alignment wrapText="1"/>
    </xf>
    <xf numFmtId="167" fontId="50" fillId="3" borderId="1" xfId="0" applyNumberFormat="1" applyFont="1" applyFill="1" applyBorder="1" applyAlignment="1">
      <alignment wrapText="1"/>
    </xf>
    <xf numFmtId="167" fontId="47" fillId="3" borderId="1" xfId="0" applyNumberFormat="1" applyFont="1" applyFill="1" applyBorder="1" applyAlignment="1">
      <alignment wrapText="1"/>
    </xf>
    <xf numFmtId="0" fontId="47" fillId="3" borderId="1" xfId="0" applyFont="1" applyFill="1" applyBorder="1" applyAlignment="1">
      <alignment wrapText="1"/>
    </xf>
    <xf numFmtId="0" fontId="8" fillId="3" borderId="1" xfId="0" applyFont="1" applyFill="1" applyBorder="1" applyAlignment="1">
      <alignment horizontal="left" vertical="center" wrapText="1"/>
    </xf>
    <xf numFmtId="183" fontId="47" fillId="3" borderId="1" xfId="0" applyNumberFormat="1" applyFont="1" applyFill="1" applyBorder="1" applyAlignment="1">
      <alignment wrapText="1"/>
    </xf>
    <xf numFmtId="183" fontId="50" fillId="3" borderId="1" xfId="0" applyNumberFormat="1" applyFont="1" applyFill="1" applyBorder="1" applyAlignment="1">
      <alignment horizontal="right" vertical="center" wrapText="1"/>
    </xf>
    <xf numFmtId="0" fontId="73" fillId="3" borderId="1" xfId="0" applyFont="1" applyFill="1" applyBorder="1" applyAlignment="1">
      <alignment horizontal="left" vertical="center" wrapText="1"/>
    </xf>
    <xf numFmtId="4" fontId="83" fillId="3" borderId="0" xfId="0" applyNumberFormat="1" applyFont="1" applyFill="1" applyAlignment="1">
      <alignment wrapText="1"/>
    </xf>
    <xf numFmtId="0" fontId="8" fillId="3" borderId="7" xfId="0" applyFont="1" applyFill="1" applyBorder="1" applyAlignment="1">
      <alignment horizontal="left" vertical="center" wrapText="1"/>
    </xf>
    <xf numFmtId="183" fontId="47" fillId="3" borderId="1" xfId="79" applyNumberFormat="1" applyFont="1" applyFill="1" applyBorder="1" applyAlignment="1">
      <alignment horizontal="justify" vertical="center" wrapText="1"/>
    </xf>
    <xf numFmtId="1" fontId="47" fillId="3" borderId="1" xfId="79" applyNumberFormat="1" applyFont="1" applyFill="1" applyBorder="1" applyAlignment="1">
      <alignment horizontal="justify" vertical="center" wrapText="1"/>
    </xf>
    <xf numFmtId="183" fontId="55" fillId="3" borderId="1" xfId="79" applyNumberFormat="1" applyFont="1" applyFill="1" applyBorder="1" applyAlignment="1">
      <alignment horizontal="justify" vertical="center" wrapText="1"/>
    </xf>
    <xf numFmtId="0" fontId="83" fillId="26" borderId="0" xfId="0" applyFont="1" applyFill="1" applyAlignment="1">
      <alignment wrapText="1"/>
    </xf>
    <xf numFmtId="0" fontId="55" fillId="3" borderId="1" xfId="0" applyFont="1" applyFill="1" applyBorder="1" applyAlignment="1">
      <alignment horizontal="left" vertical="center" wrapText="1"/>
    </xf>
    <xf numFmtId="166" fontId="47" fillId="3" borderId="1" xfId="11" applyFont="1" applyFill="1" applyBorder="1" applyAlignment="1">
      <alignment horizontal="center" vertical="center" wrapText="1"/>
    </xf>
    <xf numFmtId="166" fontId="47" fillId="3" borderId="0" xfId="11" applyFont="1" applyFill="1" applyAlignment="1">
      <alignment horizontal="center" vertical="center" wrapText="1"/>
    </xf>
    <xf numFmtId="166" fontId="83" fillId="3" borderId="0" xfId="11" applyFont="1" applyFill="1" applyAlignment="1">
      <alignment horizontal="center" vertical="center" wrapText="1"/>
    </xf>
    <xf numFmtId="0" fontId="47" fillId="3" borderId="1" xfId="0" applyFont="1" applyFill="1" applyBorder="1" applyAlignment="1">
      <alignment vertical="center" wrapText="1"/>
    </xf>
    <xf numFmtId="0" fontId="83" fillId="3" borderId="1" xfId="0" applyFont="1" applyFill="1" applyBorder="1" applyAlignment="1">
      <alignment wrapText="1"/>
    </xf>
    <xf numFmtId="0" fontId="149" fillId="3" borderId="1" xfId="0" applyFont="1" applyFill="1" applyBorder="1" applyAlignment="1">
      <alignment wrapText="1"/>
    </xf>
    <xf numFmtId="183" fontId="83" fillId="3" borderId="1" xfId="0" applyNumberFormat="1" applyFont="1" applyFill="1" applyBorder="1" applyAlignment="1">
      <alignment wrapText="1"/>
    </xf>
    <xf numFmtId="0" fontId="85" fillId="3" borderId="1" xfId="0" applyFont="1" applyFill="1" applyBorder="1" applyAlignment="1">
      <alignment wrapText="1"/>
    </xf>
    <xf numFmtId="4" fontId="47" fillId="3" borderId="1" xfId="0" applyNumberFormat="1" applyFont="1" applyFill="1" applyBorder="1" applyAlignment="1">
      <alignment horizontal="right" vertical="center" wrapText="1"/>
    </xf>
    <xf numFmtId="0" fontId="47" fillId="3" borderId="0" xfId="0" applyFont="1" applyFill="1" applyAlignment="1">
      <alignment vertical="center" wrapText="1"/>
    </xf>
    <xf numFmtId="176" fontId="50" fillId="3" borderId="1" xfId="11" applyNumberFormat="1" applyFont="1" applyFill="1" applyBorder="1" applyAlignment="1">
      <alignment horizontal="center" vertical="center" wrapText="1"/>
    </xf>
    <xf numFmtId="183" fontId="37" fillId="3" borderId="0" xfId="0" applyNumberFormat="1" applyFont="1" applyFill="1" applyAlignment="1">
      <alignment wrapText="1"/>
    </xf>
    <xf numFmtId="167" fontId="37" fillId="3" borderId="0" xfId="0" applyNumberFormat="1" applyFont="1" applyFill="1" applyAlignment="1">
      <alignment wrapText="1"/>
    </xf>
    <xf numFmtId="0" fontId="37" fillId="3" borderId="0" xfId="0" applyFont="1" applyFill="1" applyAlignment="1">
      <alignment wrapText="1"/>
    </xf>
    <xf numFmtId="9" fontId="11" fillId="0" borderId="0" xfId="0" applyNumberFormat="1" applyFont="1" applyAlignment="1">
      <alignment horizontal="center" vertical="center" wrapText="1"/>
    </xf>
    <xf numFmtId="9" fontId="10" fillId="0" borderId="1" xfId="10" applyNumberFormat="1" applyFont="1" applyFill="1" applyBorder="1" applyAlignment="1">
      <alignment horizontal="right" vertical="center" wrapText="1"/>
    </xf>
    <xf numFmtId="9" fontId="17" fillId="0" borderId="0" xfId="65" applyFont="1" applyFill="1" applyAlignment="1">
      <alignment horizontal="center" wrapText="1"/>
    </xf>
    <xf numFmtId="49" fontId="10" fillId="0" borderId="1" xfId="65" applyNumberFormat="1" applyFont="1" applyFill="1" applyBorder="1" applyAlignment="1">
      <alignment horizontal="right" vertical="center" wrapText="1"/>
    </xf>
    <xf numFmtId="174" fontId="10" fillId="0" borderId="1" xfId="10" applyNumberFormat="1" applyFont="1" applyFill="1" applyBorder="1" applyAlignment="1">
      <alignment vertical="center" wrapText="1"/>
    </xf>
    <xf numFmtId="183" fontId="10" fillId="0" borderId="1" xfId="10" applyNumberFormat="1" applyFont="1" applyFill="1" applyBorder="1" applyAlignment="1">
      <alignment vertical="center" wrapText="1"/>
    </xf>
    <xf numFmtId="9" fontId="10" fillId="0" borderId="1" xfId="10" applyNumberFormat="1" applyFont="1" applyFill="1" applyBorder="1" applyAlignment="1">
      <alignment vertical="center" wrapText="1"/>
    </xf>
    <xf numFmtId="166" fontId="10" fillId="0" borderId="16" xfId="11" applyFont="1" applyFill="1" applyBorder="1" applyAlignment="1"/>
    <xf numFmtId="176" fontId="10" fillId="0" borderId="0" xfId="11" applyNumberFormat="1" applyFont="1" applyFill="1" applyAlignment="1"/>
    <xf numFmtId="186" fontId="10" fillId="0" borderId="0" xfId="0" applyNumberFormat="1" applyFont="1"/>
    <xf numFmtId="166" fontId="10" fillId="0" borderId="0" xfId="0" applyNumberFormat="1" applyFont="1"/>
    <xf numFmtId="166" fontId="17" fillId="0" borderId="0" xfId="11" applyFont="1" applyFill="1" applyAlignment="1"/>
    <xf numFmtId="176" fontId="10" fillId="0" borderId="0" xfId="11" applyNumberFormat="1" applyFont="1" applyFill="1" applyBorder="1" applyAlignment="1"/>
    <xf numFmtId="176" fontId="17" fillId="0" borderId="0" xfId="11" applyNumberFormat="1" applyFont="1" applyFill="1" applyAlignment="1"/>
    <xf numFmtId="165" fontId="10" fillId="0" borderId="1" xfId="0" applyNumberFormat="1" applyFont="1" applyBorder="1" applyAlignment="1">
      <alignment vertical="center" wrapText="1"/>
    </xf>
    <xf numFmtId="247" fontId="17" fillId="0" borderId="0" xfId="0" applyNumberFormat="1" applyFont="1"/>
    <xf numFmtId="183" fontId="17" fillId="0" borderId="1" xfId="0" applyNumberFormat="1" applyFont="1" applyBorder="1" applyAlignment="1">
      <alignment vertical="center" wrapText="1"/>
    </xf>
    <xf numFmtId="9" fontId="17" fillId="0" borderId="1" xfId="10" applyNumberFormat="1" applyFont="1" applyFill="1" applyBorder="1" applyAlignment="1">
      <alignment vertical="center" wrapText="1"/>
    </xf>
    <xf numFmtId="203" fontId="17" fillId="0" borderId="0" xfId="0" applyNumberFormat="1" applyFont="1"/>
    <xf numFmtId="190" fontId="17" fillId="0" borderId="0" xfId="11" applyNumberFormat="1" applyFont="1" applyFill="1" applyAlignment="1"/>
    <xf numFmtId="176" fontId="17" fillId="0" borderId="0" xfId="0" applyNumberFormat="1" applyFont="1"/>
    <xf numFmtId="186" fontId="17" fillId="0" borderId="0" xfId="11" applyNumberFormat="1" applyFont="1" applyFill="1" applyAlignment="1"/>
    <xf numFmtId="184" fontId="17" fillId="0" borderId="0" xfId="11" applyNumberFormat="1" applyFont="1" applyFill="1" applyAlignment="1"/>
    <xf numFmtId="167" fontId="17" fillId="0" borderId="1" xfId="0" applyNumberFormat="1" applyFont="1" applyBorder="1" applyAlignment="1">
      <alignment vertical="center" wrapText="1"/>
    </xf>
    <xf numFmtId="174" fontId="17" fillId="0" borderId="1" xfId="0" applyNumberFormat="1" applyFont="1" applyBorder="1" applyAlignment="1">
      <alignment vertical="center" wrapText="1"/>
    </xf>
    <xf numFmtId="204" fontId="10" fillId="0" borderId="0" xfId="0" applyNumberFormat="1" applyFont="1"/>
    <xf numFmtId="186" fontId="10" fillId="0" borderId="0" xfId="11" applyNumberFormat="1" applyFont="1" applyFill="1" applyAlignment="1"/>
    <xf numFmtId="175" fontId="17" fillId="0" borderId="0" xfId="0" applyNumberFormat="1" applyFont="1"/>
    <xf numFmtId="174" fontId="10" fillId="0" borderId="1" xfId="0" applyNumberFormat="1" applyFont="1" applyBorder="1" applyAlignment="1">
      <alignment vertical="center" wrapText="1"/>
    </xf>
    <xf numFmtId="167" fontId="117" fillId="0" borderId="1" xfId="0" applyNumberFormat="1" applyFont="1" applyBorder="1" applyAlignment="1">
      <alignment vertical="center" wrapText="1"/>
    </xf>
    <xf numFmtId="167" fontId="40" fillId="0" borderId="1" xfId="0" applyNumberFormat="1" applyFont="1" applyBorder="1" applyAlignment="1">
      <alignment vertical="center" wrapText="1"/>
    </xf>
    <xf numFmtId="174" fontId="44" fillId="0" borderId="1" xfId="0" applyNumberFormat="1" applyFont="1" applyBorder="1" applyAlignment="1">
      <alignment vertical="center" wrapText="1"/>
    </xf>
    <xf numFmtId="190" fontId="10" fillId="0" borderId="0" xfId="11" applyNumberFormat="1" applyFont="1" applyFill="1" applyAlignment="1"/>
    <xf numFmtId="4" fontId="40" fillId="0" borderId="1" xfId="10" applyNumberFormat="1" applyFont="1" applyFill="1" applyBorder="1" applyAlignment="1">
      <alignment vertical="center" wrapText="1"/>
    </xf>
    <xf numFmtId="174" fontId="17" fillId="0" borderId="1" xfId="10" applyNumberFormat="1" applyFont="1" applyFill="1" applyBorder="1" applyAlignment="1">
      <alignment vertical="center"/>
    </xf>
    <xf numFmtId="167" fontId="17" fillId="0" borderId="1" xfId="0" applyNumberFormat="1" applyFont="1" applyBorder="1" applyAlignment="1">
      <alignment vertical="center"/>
    </xf>
    <xf numFmtId="4" fontId="17" fillId="0" borderId="1" xfId="0" applyNumberFormat="1" applyFont="1" applyBorder="1" applyAlignment="1">
      <alignment vertical="center"/>
    </xf>
    <xf numFmtId="166" fontId="10" fillId="0" borderId="0" xfId="11" applyFont="1" applyFill="1" applyBorder="1" applyAlignment="1"/>
    <xf numFmtId="37" fontId="10" fillId="0" borderId="1" xfId="10" applyNumberFormat="1" applyFont="1" applyFill="1" applyBorder="1" applyAlignment="1">
      <alignment vertical="center"/>
    </xf>
    <xf numFmtId="4" fontId="10" fillId="3" borderId="1" xfId="11" applyNumberFormat="1" applyFont="1" applyFill="1" applyBorder="1" applyAlignment="1">
      <alignment vertical="center"/>
    </xf>
    <xf numFmtId="4" fontId="17" fillId="3" borderId="1" xfId="11" applyNumberFormat="1" applyFont="1" applyFill="1" applyBorder="1" applyAlignment="1">
      <alignment vertical="center"/>
    </xf>
    <xf numFmtId="4" fontId="47" fillId="3" borderId="1" xfId="11" applyNumberFormat="1" applyFont="1" applyFill="1" applyBorder="1" applyAlignment="1">
      <alignment vertical="center"/>
    </xf>
    <xf numFmtId="167" fontId="10" fillId="0" borderId="16" xfId="0" applyNumberFormat="1" applyFont="1" applyBorder="1" applyAlignment="1">
      <alignment wrapText="1"/>
    </xf>
    <xf numFmtId="174" fontId="10" fillId="0" borderId="16" xfId="10" applyNumberFormat="1" applyFont="1" applyFill="1" applyBorder="1" applyAlignment="1">
      <alignment wrapText="1"/>
    </xf>
    <xf numFmtId="176" fontId="10" fillId="0" borderId="16" xfId="11" applyNumberFormat="1" applyFont="1" applyFill="1" applyBorder="1" applyAlignment="1"/>
    <xf numFmtId="0" fontId="44" fillId="0" borderId="1" xfId="0" applyFont="1" applyBorder="1" applyAlignment="1">
      <alignment horizontal="center" vertical="center" wrapText="1"/>
    </xf>
    <xf numFmtId="1" fontId="10" fillId="0" borderId="1" xfId="79" applyNumberFormat="1" applyFont="1" applyBorder="1" applyAlignment="1">
      <alignment horizontal="left" vertical="center" wrapText="1"/>
    </xf>
    <xf numFmtId="183" fontId="17" fillId="3" borderId="1" xfId="79" applyNumberFormat="1" applyFont="1" applyFill="1" applyBorder="1" applyAlignment="1">
      <alignment horizontal="left" vertical="center" wrapText="1"/>
    </xf>
    <xf numFmtId="183" fontId="40" fillId="3" borderId="1" xfId="79" applyNumberFormat="1" applyFont="1" applyFill="1" applyBorder="1" applyAlignment="1">
      <alignment horizontal="left" vertical="center" wrapText="1"/>
    </xf>
    <xf numFmtId="1" fontId="17" fillId="3" borderId="1" xfId="79" applyNumberFormat="1" applyFont="1" applyFill="1" applyBorder="1" applyAlignment="1">
      <alignment horizontal="left" vertical="center" wrapText="1"/>
    </xf>
    <xf numFmtId="166" fontId="17" fillId="0" borderId="1" xfId="11" applyFont="1" applyFill="1" applyBorder="1" applyAlignment="1">
      <alignment vertical="center" wrapText="1"/>
    </xf>
    <xf numFmtId="4" fontId="10" fillId="0" borderId="1" xfId="0" applyNumberFormat="1" applyFont="1" applyBorder="1" applyAlignment="1">
      <alignment vertical="center"/>
    </xf>
    <xf numFmtId="4" fontId="17" fillId="3" borderId="1" xfId="10" applyNumberFormat="1" applyFont="1" applyFill="1" applyBorder="1" applyAlignment="1">
      <alignment vertical="center"/>
    </xf>
    <xf numFmtId="4" fontId="17" fillId="3" borderId="1" xfId="0" applyNumberFormat="1" applyFont="1" applyFill="1" applyBorder="1" applyAlignment="1">
      <alignment vertical="center"/>
    </xf>
    <xf numFmtId="4" fontId="44" fillId="3" borderId="1" xfId="11" applyNumberFormat="1" applyFont="1" applyFill="1" applyBorder="1" applyAlignment="1">
      <alignment vertical="center"/>
    </xf>
    <xf numFmtId="4" fontId="40" fillId="3" borderId="1" xfId="0" applyNumberFormat="1" applyFont="1" applyFill="1" applyBorder="1" applyAlignment="1">
      <alignment vertical="center"/>
    </xf>
    <xf numFmtId="4" fontId="40" fillId="3" borderId="1" xfId="11" applyNumberFormat="1" applyFont="1" applyFill="1" applyBorder="1" applyAlignment="1">
      <alignment vertical="center"/>
    </xf>
    <xf numFmtId="4" fontId="10" fillId="3" borderId="1" xfId="0" applyNumberFormat="1" applyFont="1" applyFill="1" applyBorder="1" applyAlignment="1">
      <alignment vertical="center"/>
    </xf>
    <xf numFmtId="4" fontId="44" fillId="3" borderId="1" xfId="0" applyNumberFormat="1" applyFont="1" applyFill="1" applyBorder="1" applyAlignment="1">
      <alignment vertical="center"/>
    </xf>
    <xf numFmtId="1" fontId="40" fillId="0" borderId="1" xfId="0" applyNumberFormat="1" applyFont="1" applyBorder="1" applyAlignment="1">
      <alignment horizontal="center" vertical="center" wrapText="1"/>
    </xf>
    <xf numFmtId="0" fontId="10"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166" fontId="47" fillId="0" borderId="0" xfId="11" applyFont="1" applyAlignment="1">
      <alignment vertical="center"/>
    </xf>
    <xf numFmtId="166" fontId="50" fillId="3" borderId="1" xfId="11" applyFont="1" applyFill="1" applyBorder="1" applyAlignment="1">
      <alignment vertical="center" wrapText="1"/>
    </xf>
    <xf numFmtId="166" fontId="47" fillId="3" borderId="1" xfId="11" applyFont="1" applyFill="1" applyBorder="1" applyAlignment="1">
      <alignment vertical="center" wrapText="1"/>
    </xf>
    <xf numFmtId="3" fontId="150" fillId="0" borderId="0" xfId="0" applyNumberFormat="1" applyFont="1"/>
    <xf numFmtId="0" fontId="47" fillId="3" borderId="9" xfId="0" quotePrefix="1" applyFont="1" applyFill="1" applyBorder="1" applyAlignment="1">
      <alignment horizontal="center" vertical="center" wrapText="1"/>
    </xf>
    <xf numFmtId="0" fontId="136" fillId="3" borderId="1" xfId="0" applyFont="1" applyFill="1" applyBorder="1" applyAlignment="1">
      <alignment horizontal="center" vertical="center" wrapText="1"/>
    </xf>
    <xf numFmtId="0" fontId="151" fillId="3" borderId="0" xfId="0" applyFont="1" applyFill="1"/>
    <xf numFmtId="176" fontId="151" fillId="3" borderId="0" xfId="11" applyNumberFormat="1" applyFont="1" applyFill="1"/>
    <xf numFmtId="166" fontId="151" fillId="3" borderId="0" xfId="11" applyFont="1" applyFill="1"/>
    <xf numFmtId="49" fontId="151" fillId="3" borderId="1" xfId="0" applyNumberFormat="1" applyFont="1" applyFill="1" applyBorder="1" applyAlignment="1">
      <alignment horizontal="center" vertical="center" wrapText="1"/>
    </xf>
    <xf numFmtId="49" fontId="151" fillId="3" borderId="0" xfId="0" applyNumberFormat="1" applyFont="1" applyFill="1"/>
    <xf numFmtId="49" fontId="151" fillId="3" borderId="0" xfId="11" applyNumberFormat="1" applyFont="1" applyFill="1"/>
    <xf numFmtId="167" fontId="151" fillId="3" borderId="0" xfId="0" applyNumberFormat="1" applyFont="1" applyFill="1"/>
    <xf numFmtId="0" fontId="151" fillId="0" borderId="7" xfId="0" applyFont="1" applyBorder="1" applyAlignment="1">
      <alignment horizontal="justify" wrapText="1"/>
    </xf>
    <xf numFmtId="175" fontId="151" fillId="0" borderId="0" xfId="0" applyNumberFormat="1" applyFont="1"/>
    <xf numFmtId="0" fontId="151" fillId="0" borderId="0" xfId="0" applyFont="1"/>
    <xf numFmtId="176" fontId="151" fillId="0" borderId="0" xfId="11" applyNumberFormat="1" applyFont="1" applyFill="1"/>
    <xf numFmtId="166" fontId="151" fillId="0" borderId="0" xfId="11" applyFont="1" applyFill="1"/>
    <xf numFmtId="174" fontId="151" fillId="0" borderId="0" xfId="0" applyNumberFormat="1" applyFont="1"/>
    <xf numFmtId="0" fontId="151" fillId="3" borderId="7" xfId="0" applyFont="1" applyFill="1" applyBorder="1" applyAlignment="1">
      <alignment horizontal="justify" wrapText="1"/>
    </xf>
    <xf numFmtId="175" fontId="151" fillId="3" borderId="0" xfId="0" applyNumberFormat="1" applyFont="1" applyFill="1"/>
    <xf numFmtId="0" fontId="151" fillId="0" borderId="7" xfId="0" applyFont="1" applyBorder="1" applyAlignment="1">
      <alignment horizontal="justify" vertical="center" wrapText="1"/>
    </xf>
    <xf numFmtId="175" fontId="151" fillId="0" borderId="0" xfId="0" applyNumberFormat="1" applyFont="1" applyAlignment="1">
      <alignment vertical="center"/>
    </xf>
    <xf numFmtId="0" fontId="151" fillId="0" borderId="0" xfId="0" applyFont="1" applyAlignment="1">
      <alignment vertical="center"/>
    </xf>
    <xf numFmtId="176" fontId="151" fillId="0" borderId="0" xfId="11" applyNumberFormat="1" applyFont="1" applyFill="1" applyAlignment="1">
      <alignment vertical="center"/>
    </xf>
    <xf numFmtId="166" fontId="151" fillId="0" borderId="0" xfId="11" applyFont="1" applyFill="1" applyAlignment="1">
      <alignment vertical="center"/>
    </xf>
    <xf numFmtId="0" fontId="151" fillId="3" borderId="7" xfId="0" applyFont="1" applyFill="1" applyBorder="1" applyAlignment="1">
      <alignment horizontal="justify" vertical="center" wrapText="1"/>
    </xf>
    <xf numFmtId="0" fontId="151" fillId="3" borderId="0" xfId="0" applyFont="1" applyFill="1" applyAlignment="1">
      <alignment vertical="center"/>
    </xf>
    <xf numFmtId="176" fontId="151" fillId="3" borderId="0" xfId="11" applyNumberFormat="1" applyFont="1" applyFill="1" applyAlignment="1">
      <alignment vertical="center"/>
    </xf>
    <xf numFmtId="166" fontId="151" fillId="3" borderId="0" xfId="11" applyFont="1" applyFill="1" applyAlignment="1">
      <alignment vertical="center"/>
    </xf>
    <xf numFmtId="0" fontId="151" fillId="0" borderId="7" xfId="0" applyFont="1" applyBorder="1" applyAlignment="1">
      <alignment vertical="center" wrapText="1"/>
    </xf>
    <xf numFmtId="0" fontId="151" fillId="0" borderId="7" xfId="0" applyFont="1" applyBorder="1" applyAlignment="1">
      <alignment vertical="center"/>
    </xf>
    <xf numFmtId="0" fontId="151" fillId="0" borderId="7" xfId="0" applyFont="1" applyBorder="1"/>
    <xf numFmtId="0" fontId="151" fillId="3" borderId="8" xfId="0" applyFont="1" applyFill="1" applyBorder="1" applyAlignment="1">
      <alignment horizontal="left" vertical="center" wrapText="1"/>
    </xf>
    <xf numFmtId="0" fontId="47" fillId="3" borderId="0" xfId="0" applyFont="1" applyFill="1" applyAlignment="1">
      <alignment horizontal="center" vertical="center"/>
    </xf>
    <xf numFmtId="0" fontId="151" fillId="0" borderId="7" xfId="0" quotePrefix="1" applyFont="1" applyBorder="1" applyAlignment="1">
      <alignment horizontal="center" vertical="center"/>
    </xf>
    <xf numFmtId="0" fontId="13" fillId="0" borderId="1" xfId="0" applyFont="1" applyBorder="1" applyAlignment="1">
      <alignment vertical="center" wrapText="1"/>
    </xf>
    <xf numFmtId="0" fontId="153" fillId="0" borderId="0" xfId="0" applyFont="1"/>
    <xf numFmtId="0" fontId="17" fillId="0" borderId="7" xfId="0" applyFont="1" applyBorder="1" applyAlignment="1">
      <alignment horizontal="left" vertical="center"/>
    </xf>
    <xf numFmtId="0" fontId="87" fillId="0" borderId="10" xfId="0" applyFont="1" applyBorder="1" applyAlignment="1">
      <alignment horizontal="center" vertical="center" wrapText="1"/>
    </xf>
    <xf numFmtId="43" fontId="151" fillId="3" borderId="0" xfId="0" applyNumberFormat="1" applyFont="1" applyFill="1"/>
    <xf numFmtId="4" fontId="151" fillId="0" borderId="0" xfId="0" applyNumberFormat="1" applyFont="1"/>
    <xf numFmtId="0" fontId="8" fillId="3" borderId="0" xfId="0" applyFont="1" applyFill="1"/>
    <xf numFmtId="174" fontId="8" fillId="3" borderId="0" xfId="10" applyNumberFormat="1" applyFont="1" applyFill="1"/>
    <xf numFmtId="3" fontId="40" fillId="3" borderId="0" xfId="55" applyNumberFormat="1" applyFont="1" applyFill="1" applyAlignment="1">
      <alignment vertical="center"/>
    </xf>
    <xf numFmtId="0" fontId="134" fillId="3" borderId="1" xfId="0" applyFont="1" applyFill="1" applyBorder="1" applyAlignment="1">
      <alignment horizontal="center" vertical="center" wrapText="1"/>
    </xf>
    <xf numFmtId="0" fontId="134" fillId="0" borderId="1" xfId="0" applyFont="1" applyBorder="1" applyAlignment="1">
      <alignment horizontal="center" vertical="center" wrapText="1"/>
    </xf>
    <xf numFmtId="174" fontId="134" fillId="3" borderId="1" xfId="10" applyNumberFormat="1" applyFont="1" applyFill="1" applyBorder="1" applyAlignment="1">
      <alignment horizontal="center" vertical="center" wrapText="1"/>
    </xf>
    <xf numFmtId="49" fontId="154" fillId="3" borderId="1" xfId="0" applyNumberFormat="1" applyFont="1" applyFill="1" applyBorder="1" applyAlignment="1">
      <alignment horizontal="center" vertical="center" wrapText="1"/>
    </xf>
    <xf numFmtId="49" fontId="154" fillId="0" borderId="1" xfId="0" applyNumberFormat="1" applyFont="1" applyBorder="1" applyAlignment="1">
      <alignment horizontal="center" vertical="center" wrapText="1"/>
    </xf>
    <xf numFmtId="49" fontId="154" fillId="3" borderId="1" xfId="10" applyNumberFormat="1" applyFont="1" applyFill="1" applyBorder="1" applyAlignment="1">
      <alignment horizontal="center" vertical="center" wrapText="1"/>
    </xf>
    <xf numFmtId="183" fontId="154" fillId="0" borderId="7" xfId="0" applyNumberFormat="1" applyFont="1" applyBorder="1" applyAlignment="1">
      <alignment horizontal="right" vertical="center" wrapText="1"/>
    </xf>
    <xf numFmtId="183" fontId="154" fillId="3" borderId="7" xfId="0" applyNumberFormat="1" applyFont="1" applyFill="1" applyBorder="1" applyAlignment="1">
      <alignment horizontal="right" vertical="center" wrapText="1"/>
    </xf>
    <xf numFmtId="167" fontId="40" fillId="3" borderId="9" xfId="0" applyNumberFormat="1" applyFont="1" applyFill="1" applyBorder="1" applyAlignment="1">
      <alignment horizontal="right" vertical="center" wrapText="1"/>
    </xf>
    <xf numFmtId="167" fontId="40" fillId="0" borderId="9" xfId="0" applyNumberFormat="1" applyFont="1" applyBorder="1" applyAlignment="1">
      <alignment horizontal="right" vertical="center" wrapText="1"/>
    </xf>
    <xf numFmtId="174" fontId="40" fillId="3" borderId="9" xfId="10" applyNumberFormat="1" applyFont="1" applyFill="1" applyBorder="1" applyAlignment="1">
      <alignment horizontal="right" vertical="center" wrapText="1"/>
    </xf>
    <xf numFmtId="177" fontId="40" fillId="3" borderId="9" xfId="0" applyNumberFormat="1" applyFont="1" applyFill="1" applyBorder="1" applyAlignment="1">
      <alignment horizontal="right" vertical="center" wrapText="1"/>
    </xf>
    <xf numFmtId="0" fontId="151" fillId="0" borderId="6" xfId="0" quotePrefix="1" applyFont="1" applyBorder="1" applyAlignment="1">
      <alignment horizontal="center" vertical="center"/>
    </xf>
    <xf numFmtId="0" fontId="151" fillId="0" borderId="6" xfId="0" applyFont="1" applyBorder="1" applyAlignment="1">
      <alignment horizontal="justify" wrapText="1"/>
    </xf>
    <xf numFmtId="0" fontId="151" fillId="0" borderId="8" xfId="0" quotePrefix="1" applyFont="1" applyBorder="1" applyAlignment="1">
      <alignment horizontal="center" vertical="center"/>
    </xf>
    <xf numFmtId="49" fontId="47" fillId="0" borderId="1" xfId="10" applyNumberFormat="1" applyFont="1" applyFill="1" applyBorder="1" applyAlignment="1">
      <alignment horizontal="center" vertical="center" wrapText="1"/>
    </xf>
    <xf numFmtId="49" fontId="47" fillId="0" borderId="1" xfId="0" applyNumberFormat="1" applyFont="1" applyBorder="1" applyAlignment="1">
      <alignment horizontal="center" vertical="center" wrapText="1"/>
    </xf>
    <xf numFmtId="0" fontId="156" fillId="0" borderId="0" xfId="0" applyFont="1"/>
    <xf numFmtId="257" fontId="14" fillId="0" borderId="7" xfId="100" applyNumberFormat="1" applyFont="1" applyFill="1" applyBorder="1" applyAlignment="1">
      <alignment horizontal="right" vertical="center" wrapText="1"/>
    </xf>
    <xf numFmtId="37" fontId="17" fillId="0" borderId="7" xfId="11" applyNumberFormat="1" applyFont="1" applyBorder="1" applyAlignment="1">
      <alignment horizontal="right" vertical="center"/>
    </xf>
    <xf numFmtId="183" fontId="40" fillId="0" borderId="7" xfId="0" applyNumberFormat="1" applyFont="1" applyBorder="1" applyAlignment="1">
      <alignment horizontal="right" vertical="center" wrapText="1"/>
    </xf>
    <xf numFmtId="0" fontId="47" fillId="0" borderId="0" xfId="0" applyFont="1" applyAlignment="1">
      <alignment horizontal="left" vertical="center"/>
    </xf>
    <xf numFmtId="0" fontId="38" fillId="0" borderId="0" xfId="0" applyFont="1" applyAlignment="1">
      <alignment horizontal="left" vertical="center"/>
    </xf>
    <xf numFmtId="0" fontId="14" fillId="0" borderId="9" xfId="0" applyFont="1" applyBorder="1" applyAlignment="1">
      <alignment vertical="center" wrapText="1"/>
    </xf>
    <xf numFmtId="257" fontId="14" fillId="0" borderId="15" xfId="100" applyNumberFormat="1" applyFont="1" applyFill="1" applyBorder="1" applyAlignment="1">
      <alignment horizontal="right" vertical="center" wrapText="1"/>
    </xf>
    <xf numFmtId="1" fontId="10" fillId="0" borderId="1" xfId="0" applyNumberFormat="1" applyFont="1" applyBorder="1" applyAlignment="1">
      <alignment horizontal="center" vertical="center" wrapText="1"/>
    </xf>
    <xf numFmtId="170" fontId="11" fillId="0" borderId="7" xfId="13" quotePrefix="1" applyNumberFormat="1" applyFont="1" applyBorder="1" applyAlignment="1">
      <alignment vertical="center" wrapText="1"/>
    </xf>
    <xf numFmtId="3" fontId="11" fillId="0" borderId="7" xfId="0" applyNumberFormat="1" applyFont="1" applyBorder="1" applyAlignment="1">
      <alignment horizontal="right" vertical="center"/>
    </xf>
    <xf numFmtId="0" fontId="40" fillId="0" borderId="7" xfId="0" applyFont="1" applyBorder="1" applyAlignment="1">
      <alignment vertical="center"/>
    </xf>
    <xf numFmtId="0" fontId="113" fillId="0" borderId="7" xfId="0" applyFont="1" applyBorder="1" applyAlignment="1">
      <alignment horizontal="justify" vertical="center" wrapText="1"/>
    </xf>
    <xf numFmtId="183" fontId="113" fillId="0" borderId="7" xfId="0" applyNumberFormat="1" applyFont="1" applyBorder="1" applyAlignment="1">
      <alignment horizontal="right" vertical="center" wrapText="1"/>
    </xf>
    <xf numFmtId="0" fontId="22" fillId="3" borderId="1" xfId="0" applyFont="1" applyFill="1" applyBorder="1" applyAlignment="1">
      <alignment wrapText="1"/>
    </xf>
    <xf numFmtId="0" fontId="22" fillId="3" borderId="1" xfId="0" applyFont="1" applyFill="1" applyBorder="1" applyAlignment="1">
      <alignment horizontal="left" vertical="center" wrapText="1"/>
    </xf>
    <xf numFmtId="183" fontId="22" fillId="3" borderId="1" xfId="0" applyNumberFormat="1" applyFont="1" applyFill="1" applyBorder="1" applyAlignment="1">
      <alignment wrapText="1"/>
    </xf>
    <xf numFmtId="183" fontId="22" fillId="3" borderId="1" xfId="0" applyNumberFormat="1" applyFont="1" applyFill="1" applyBorder="1" applyAlignment="1">
      <alignment horizontal="right" vertical="center" wrapText="1"/>
    </xf>
    <xf numFmtId="183" fontId="118" fillId="3" borderId="1" xfId="0" applyNumberFormat="1" applyFont="1" applyFill="1" applyBorder="1" applyAlignment="1">
      <alignment horizontal="right" vertical="center" wrapText="1"/>
    </xf>
    <xf numFmtId="183" fontId="22" fillId="3" borderId="0" xfId="0" applyNumberFormat="1" applyFont="1" applyFill="1" applyAlignment="1">
      <alignment wrapText="1"/>
    </xf>
    <xf numFmtId="0" fontId="22" fillId="3" borderId="0" xfId="0" applyFont="1" applyFill="1" applyAlignment="1">
      <alignment wrapText="1"/>
    </xf>
    <xf numFmtId="0" fontId="138" fillId="0" borderId="1" xfId="0" applyFont="1" applyBorder="1" applyAlignment="1">
      <alignment horizontal="center" vertical="center" wrapText="1"/>
    </xf>
    <xf numFmtId="0" fontId="138" fillId="0" borderId="1" xfId="0" applyFont="1" applyBorder="1" applyAlignment="1">
      <alignment vertical="center" wrapText="1"/>
    </xf>
    <xf numFmtId="167" fontId="138" fillId="0" borderId="1" xfId="0" applyNumberFormat="1" applyFont="1" applyBorder="1" applyAlignment="1">
      <alignment horizontal="right" vertical="center" wrapText="1"/>
    </xf>
    <xf numFmtId="1" fontId="138" fillId="0" borderId="1" xfId="0" applyNumberFormat="1" applyFont="1" applyBorder="1" applyAlignment="1">
      <alignment horizontal="center" vertical="center" wrapText="1"/>
    </xf>
    <xf numFmtId="184" fontId="138" fillId="0" borderId="0" xfId="11" applyNumberFormat="1" applyFont="1"/>
    <xf numFmtId="175" fontId="138" fillId="0" borderId="0" xfId="0" applyNumberFormat="1" applyFont="1"/>
    <xf numFmtId="167" fontId="138" fillId="0" borderId="0" xfId="0" applyNumberFormat="1" applyFont="1"/>
    <xf numFmtId="0" fontId="138" fillId="0" borderId="0" xfId="0" applyFont="1"/>
    <xf numFmtId="0" fontId="138" fillId="0" borderId="1" xfId="0" applyFont="1" applyBorder="1" applyAlignment="1">
      <alignment horizontal="justify" vertical="center" wrapText="1"/>
    </xf>
    <xf numFmtId="173" fontId="138" fillId="0" borderId="0" xfId="0" applyNumberFormat="1" applyFont="1"/>
    <xf numFmtId="164" fontId="138" fillId="0" borderId="0" xfId="0" applyNumberFormat="1" applyFont="1"/>
    <xf numFmtId="184" fontId="138" fillId="0" borderId="0" xfId="11" applyNumberFormat="1" applyFont="1" applyFill="1"/>
    <xf numFmtId="0" fontId="139" fillId="0" borderId="9" xfId="0" applyFont="1" applyBorder="1" applyAlignment="1">
      <alignment horizontal="center" vertical="center" wrapText="1"/>
    </xf>
    <xf numFmtId="0" fontId="139" fillId="0" borderId="9" xfId="0" applyFont="1" applyBorder="1" applyAlignment="1">
      <alignment horizontal="justify" vertical="center" wrapText="1"/>
    </xf>
    <xf numFmtId="184" fontId="139" fillId="0" borderId="0" xfId="11" applyNumberFormat="1" applyFont="1"/>
    <xf numFmtId="167" fontId="139" fillId="0" borderId="0" xfId="0" applyNumberFormat="1" applyFont="1"/>
    <xf numFmtId="0" fontId="139" fillId="0" borderId="0" xfId="0" applyFont="1"/>
    <xf numFmtId="0" fontId="139" fillId="0" borderId="7" xfId="0" applyFont="1" applyBorder="1" applyAlignment="1">
      <alignment horizontal="center" vertical="center" wrapText="1"/>
    </xf>
    <xf numFmtId="0" fontId="139" fillId="0" borderId="7" xfId="0" applyFont="1" applyBorder="1" applyAlignment="1">
      <alignment horizontal="justify" vertical="center" wrapText="1"/>
    </xf>
    <xf numFmtId="166" fontId="139" fillId="0" borderId="7" xfId="11" applyFont="1" applyBorder="1" applyAlignment="1">
      <alignment horizontal="right" vertical="center" wrapText="1"/>
    </xf>
    <xf numFmtId="0" fontId="139" fillId="0" borderId="15" xfId="0" applyFont="1" applyBorder="1" applyAlignment="1">
      <alignment horizontal="center" vertical="center" wrapText="1"/>
    </xf>
    <xf numFmtId="0" fontId="139" fillId="0" borderId="15" xfId="0" applyFont="1" applyBorder="1" applyAlignment="1">
      <alignment horizontal="justify" vertical="center" wrapText="1"/>
    </xf>
    <xf numFmtId="166" fontId="139" fillId="0" borderId="15" xfId="11" applyFont="1" applyBorder="1" applyAlignment="1">
      <alignment horizontal="right" vertical="center" wrapText="1"/>
    </xf>
    <xf numFmtId="212" fontId="138" fillId="0" borderId="0" xfId="0" applyNumberFormat="1" applyFont="1"/>
    <xf numFmtId="176" fontId="138" fillId="0" borderId="0" xfId="11" applyNumberFormat="1" applyFont="1"/>
    <xf numFmtId="166" fontId="139" fillId="0" borderId="0" xfId="11" applyFont="1"/>
    <xf numFmtId="43" fontId="139" fillId="0" borderId="0" xfId="0" applyNumberFormat="1" applyFont="1"/>
    <xf numFmtId="167" fontId="139" fillId="0" borderId="7" xfId="0" applyNumberFormat="1" applyFont="1" applyBorder="1" applyAlignment="1">
      <alignment horizontal="right" vertical="center" wrapText="1"/>
    </xf>
    <xf numFmtId="218" fontId="139" fillId="0" borderId="0" xfId="0" applyNumberFormat="1" applyFont="1"/>
    <xf numFmtId="167" fontId="139" fillId="0" borderId="15" xfId="0" applyNumberFormat="1" applyFont="1" applyBorder="1" applyAlignment="1">
      <alignment horizontal="right" vertical="center" wrapText="1"/>
    </xf>
    <xf numFmtId="165" fontId="139" fillId="0" borderId="7" xfId="10" applyFont="1" applyFill="1" applyBorder="1" applyAlignment="1">
      <alignment horizontal="right" vertical="center" wrapText="1"/>
    </xf>
    <xf numFmtId="186" fontId="138" fillId="0" borderId="0" xfId="11" applyNumberFormat="1" applyFont="1"/>
    <xf numFmtId="234" fontId="138" fillId="0" borderId="0" xfId="0" applyNumberFormat="1" applyFont="1"/>
    <xf numFmtId="0" fontId="8" fillId="3" borderId="1" xfId="0" applyFont="1" applyFill="1" applyBorder="1" applyAlignment="1">
      <alignment vertical="center" wrapText="1"/>
    </xf>
    <xf numFmtId="183" fontId="8" fillId="3" borderId="1" xfId="0" applyNumberFormat="1" applyFont="1" applyFill="1" applyBorder="1" applyAlignment="1">
      <alignment vertical="center" wrapText="1"/>
    </xf>
    <xf numFmtId="186" fontId="8" fillId="3" borderId="1" xfId="11" applyNumberFormat="1" applyFont="1" applyFill="1" applyBorder="1" applyAlignment="1">
      <alignment vertical="center" wrapText="1"/>
    </xf>
    <xf numFmtId="0" fontId="8" fillId="3" borderId="0" xfId="0" applyFont="1" applyFill="1" applyAlignment="1">
      <alignment vertical="center" wrapText="1"/>
    </xf>
    <xf numFmtId="0" fontId="138" fillId="0" borderId="3" xfId="0" applyFont="1" applyBorder="1" applyAlignment="1">
      <alignment horizontal="center" vertical="center" wrapText="1"/>
    </xf>
    <xf numFmtId="166" fontId="138" fillId="0" borderId="1" xfId="11" applyFont="1" applyBorder="1" applyAlignment="1">
      <alignment horizontal="right" vertical="center" wrapText="1"/>
    </xf>
    <xf numFmtId="0" fontId="139" fillId="0" borderId="6" xfId="0" applyFont="1" applyBorder="1" applyAlignment="1">
      <alignment horizontal="center" vertical="center" wrapText="1"/>
    </xf>
    <xf numFmtId="0" fontId="139" fillId="0" borderId="6" xfId="0" applyFont="1" applyBorder="1" applyAlignment="1">
      <alignment horizontal="justify" vertical="center" wrapText="1"/>
    </xf>
    <xf numFmtId="167" fontId="139" fillId="0" borderId="6" xfId="0" applyNumberFormat="1" applyFont="1" applyBorder="1" applyAlignment="1">
      <alignment horizontal="right" vertical="center" wrapText="1"/>
    </xf>
    <xf numFmtId="0" fontId="139" fillId="0" borderId="8" xfId="0" applyFont="1" applyBorder="1" applyAlignment="1">
      <alignment horizontal="center" vertical="center" wrapText="1"/>
    </xf>
    <xf numFmtId="0" fontId="139" fillId="0" borderId="8" xfId="0" applyFont="1" applyBorder="1" applyAlignment="1">
      <alignment horizontal="justify" vertical="center" wrapText="1"/>
    </xf>
    <xf numFmtId="165" fontId="47" fillId="0" borderId="6" xfId="10" applyFont="1" applyFill="1" applyBorder="1" applyAlignment="1">
      <alignment horizontal="center" vertical="center" wrapText="1"/>
    </xf>
    <xf numFmtId="165" fontId="47" fillId="0" borderId="7" xfId="10" applyFont="1" applyFill="1" applyBorder="1" applyAlignment="1">
      <alignment horizontal="center" vertical="center" wrapText="1"/>
    </xf>
    <xf numFmtId="0" fontId="47" fillId="0" borderId="8" xfId="0" quotePrefix="1" applyFont="1" applyBorder="1" applyAlignment="1">
      <alignment horizontal="center" vertical="center"/>
    </xf>
    <xf numFmtId="167" fontId="157" fillId="31" borderId="0" xfId="0" applyNumberFormat="1" applyFont="1" applyFill="1"/>
    <xf numFmtId="0" fontId="158" fillId="3" borderId="0" xfId="0" applyFont="1" applyFill="1" applyAlignment="1">
      <alignment wrapText="1"/>
    </xf>
    <xf numFmtId="183" fontId="158" fillId="3" borderId="0" xfId="0" applyNumberFormat="1" applyFont="1" applyFill="1" applyAlignment="1">
      <alignment wrapText="1"/>
    </xf>
    <xf numFmtId="0" fontId="159" fillId="3" borderId="0" xfId="0" applyFont="1" applyFill="1" applyAlignment="1">
      <alignment wrapText="1"/>
    </xf>
    <xf numFmtId="0" fontId="161" fillId="0" borderId="0" xfId="0" applyFont="1" applyAlignment="1">
      <alignment horizontal="center" vertical="center"/>
    </xf>
    <xf numFmtId="0" fontId="160" fillId="0" borderId="0" xfId="0" applyFont="1" applyAlignment="1">
      <alignment vertical="center" wrapText="1"/>
    </xf>
    <xf numFmtId="0" fontId="161" fillId="0" borderId="0" xfId="0" applyFont="1" applyAlignment="1">
      <alignment vertical="center"/>
    </xf>
    <xf numFmtId="0" fontId="160" fillId="0" borderId="0" xfId="0" applyFont="1" applyAlignment="1">
      <alignment horizontal="center" vertical="center"/>
    </xf>
    <xf numFmtId="0" fontId="163" fillId="0" borderId="0" xfId="0" applyFont="1" applyAlignment="1">
      <alignment horizontal="left" vertical="center" wrapText="1"/>
    </xf>
    <xf numFmtId="0" fontId="164" fillId="0" borderId="1" xfId="0" applyFont="1" applyBorder="1" applyAlignment="1">
      <alignment vertical="center" wrapText="1"/>
    </xf>
    <xf numFmtId="3" fontId="164" fillId="0" borderId="1" xfId="0" applyNumberFormat="1" applyFont="1" applyBorder="1" applyAlignment="1">
      <alignment vertical="center" wrapText="1"/>
    </xf>
    <xf numFmtId="0" fontId="164" fillId="0" borderId="1" xfId="0" applyFont="1" applyBorder="1"/>
    <xf numFmtId="0" fontId="164" fillId="0" borderId="1" xfId="0" applyFont="1" applyBorder="1" applyAlignment="1">
      <alignment wrapText="1"/>
    </xf>
    <xf numFmtId="3" fontId="164" fillId="0" borderId="1" xfId="0" applyNumberFormat="1" applyFont="1" applyBorder="1"/>
    <xf numFmtId="0" fontId="165" fillId="0" borderId="0" xfId="0" applyFont="1" applyAlignment="1">
      <alignment vertical="center" wrapText="1"/>
    </xf>
    <xf numFmtId="0" fontId="160" fillId="0" borderId="0" xfId="0" applyFont="1" applyAlignment="1">
      <alignment vertical="center"/>
    </xf>
    <xf numFmtId="0" fontId="163" fillId="0" borderId="1" xfId="0" applyFont="1" applyBorder="1" applyAlignment="1">
      <alignment vertical="center"/>
    </xf>
    <xf numFmtId="0" fontId="163" fillId="0" borderId="1" xfId="0" applyFont="1" applyBorder="1" applyAlignment="1">
      <alignment vertical="center" wrapText="1"/>
    </xf>
    <xf numFmtId="3" fontId="164" fillId="0" borderId="1" xfId="0" applyNumberFormat="1" applyFont="1" applyBorder="1" applyAlignment="1">
      <alignment vertical="center"/>
    </xf>
    <xf numFmtId="0" fontId="164" fillId="0" borderId="1" xfId="0" applyFont="1" applyBorder="1" applyAlignment="1">
      <alignment vertical="center"/>
    </xf>
    <xf numFmtId="3" fontId="163" fillId="0" borderId="1" xfId="0" applyNumberFormat="1" applyFont="1" applyBorder="1" applyAlignment="1">
      <alignment vertical="center"/>
    </xf>
    <xf numFmtId="0" fontId="165" fillId="0" borderId="0" xfId="0" applyFont="1" applyAlignment="1">
      <alignment horizontal="right" vertical="center"/>
    </xf>
    <xf numFmtId="0" fontId="166" fillId="0" borderId="21" xfId="0" applyFont="1" applyBorder="1"/>
    <xf numFmtId="3" fontId="166" fillId="0" borderId="21" xfId="0" applyNumberFormat="1" applyFont="1" applyBorder="1"/>
    <xf numFmtId="3" fontId="167" fillId="0" borderId="21" xfId="0" applyNumberFormat="1" applyFont="1" applyBorder="1"/>
    <xf numFmtId="0" fontId="167" fillId="0" borderId="21" xfId="0" applyFont="1" applyBorder="1"/>
    <xf numFmtId="0" fontId="168" fillId="0" borderId="1" xfId="0" applyFont="1" applyBorder="1" applyAlignment="1">
      <alignment horizontal="center" vertical="center" wrapText="1"/>
    </xf>
    <xf numFmtId="0" fontId="169" fillId="0" borderId="0" xfId="0" applyFont="1" applyAlignment="1">
      <alignment vertical="center"/>
    </xf>
    <xf numFmtId="0" fontId="168" fillId="0" borderId="0" xfId="0" applyFont="1" applyAlignment="1">
      <alignment vertical="center"/>
    </xf>
    <xf numFmtId="0" fontId="169" fillId="0" borderId="0" xfId="0" applyFont="1" applyAlignment="1">
      <alignment horizontal="center" vertical="center"/>
    </xf>
    <xf numFmtId="0" fontId="172" fillId="0" borderId="0" xfId="0" applyFont="1" applyAlignment="1">
      <alignment vertical="center" wrapText="1"/>
    </xf>
    <xf numFmtId="0" fontId="168" fillId="0" borderId="0" xfId="0" applyFont="1" applyAlignment="1">
      <alignment horizontal="center" vertical="center"/>
    </xf>
    <xf numFmtId="0" fontId="168" fillId="0" borderId="0" xfId="0" applyFont="1" applyAlignment="1">
      <alignment vertical="center" wrapText="1"/>
    </xf>
    <xf numFmtId="0" fontId="170" fillId="0" borderId="21" xfId="0" applyFont="1" applyBorder="1" applyAlignment="1">
      <alignment vertical="center"/>
    </xf>
    <xf numFmtId="0" fontId="171" fillId="0" borderId="21" xfId="0" applyFont="1" applyBorder="1" applyAlignment="1">
      <alignment vertical="center"/>
    </xf>
    <xf numFmtId="3" fontId="161" fillId="0" borderId="0" xfId="0" applyNumberFormat="1" applyFont="1" applyAlignment="1">
      <alignment vertical="center"/>
    </xf>
    <xf numFmtId="0" fontId="47" fillId="0" borderId="22" xfId="0" applyFont="1" applyBorder="1" applyAlignment="1">
      <alignment horizontal="center" vertical="center" wrapText="1"/>
    </xf>
    <xf numFmtId="0" fontId="50" fillId="0" borderId="22" xfId="0" applyFont="1" applyBorder="1" applyAlignment="1">
      <alignment horizontal="center" vertical="center" wrapText="1"/>
    </xf>
    <xf numFmtId="0" fontId="37" fillId="0" borderId="21" xfId="0" applyFont="1" applyBorder="1" applyAlignment="1">
      <alignment horizontal="left" wrapText="1"/>
    </xf>
    <xf numFmtId="0" fontId="50" fillId="0" borderId="21" xfId="0" applyFont="1" applyBorder="1" applyAlignment="1">
      <alignment horizontal="center" vertical="center"/>
    </xf>
    <xf numFmtId="0" fontId="47" fillId="0" borderId="21" xfId="0" applyFont="1" applyBorder="1"/>
    <xf numFmtId="231" fontId="47" fillId="0" borderId="21" xfId="0" applyNumberFormat="1" applyFont="1" applyBorder="1"/>
    <xf numFmtId="0" fontId="38" fillId="0" borderId="21" xfId="0" applyFont="1" applyBorder="1"/>
    <xf numFmtId="167" fontId="38" fillId="0" borderId="21" xfId="0" applyNumberFormat="1" applyFont="1" applyBorder="1"/>
    <xf numFmtId="3" fontId="47" fillId="0" borderId="21" xfId="0" applyNumberFormat="1" applyFont="1" applyBorder="1"/>
    <xf numFmtId="0" fontId="122" fillId="3" borderId="1" xfId="0" applyFont="1" applyFill="1" applyBorder="1" applyAlignment="1">
      <alignment wrapText="1"/>
    </xf>
    <xf numFmtId="183" fontId="22" fillId="3" borderId="1" xfId="0" applyNumberFormat="1" applyFont="1" applyFill="1" applyBorder="1" applyAlignment="1">
      <alignment vertical="center" wrapText="1"/>
    </xf>
    <xf numFmtId="3" fontId="173" fillId="0" borderId="1" xfId="0" applyNumberFormat="1" applyFont="1" applyBorder="1" applyAlignment="1">
      <alignment vertical="center"/>
    </xf>
    <xf numFmtId="0" fontId="167" fillId="0" borderId="0" xfId="0" applyFont="1"/>
    <xf numFmtId="0" fontId="0" fillId="0" borderId="0" xfId="0" applyAlignment="1">
      <alignment wrapText="1"/>
    </xf>
    <xf numFmtId="3" fontId="0" fillId="0" borderId="0" xfId="0" applyNumberFormat="1"/>
    <xf numFmtId="3" fontId="167" fillId="0" borderId="0" xfId="0" applyNumberFormat="1" applyFont="1"/>
    <xf numFmtId="0" fontId="174" fillId="0" borderId="0" xfId="0" applyFont="1"/>
    <xf numFmtId="0" fontId="166" fillId="0" borderId="0" xfId="0" applyFont="1"/>
    <xf numFmtId="0" fontId="167" fillId="0" borderId="21" xfId="0" applyFont="1" applyBorder="1" applyAlignment="1">
      <alignment wrapText="1"/>
    </xf>
    <xf numFmtId="0" fontId="166" fillId="0" borderId="21" xfId="0" applyFont="1" applyBorder="1" applyAlignment="1">
      <alignment wrapText="1"/>
    </xf>
    <xf numFmtId="49" fontId="0" fillId="0" borderId="0" xfId="0" applyNumberFormat="1"/>
    <xf numFmtId="49" fontId="167" fillId="0" borderId="16" xfId="0" applyNumberFormat="1" applyFont="1" applyBorder="1"/>
    <xf numFmtId="3" fontId="160" fillId="0" borderId="0" xfId="0" applyNumberFormat="1" applyFont="1" applyAlignment="1">
      <alignment vertical="center"/>
    </xf>
    <xf numFmtId="3" fontId="138" fillId="0" borderId="0" xfId="0" applyNumberFormat="1" applyFont="1"/>
    <xf numFmtId="3" fontId="139" fillId="0" borderId="0" xfId="0" applyNumberFormat="1" applyFont="1"/>
    <xf numFmtId="259" fontId="37" fillId="0" borderId="0" xfId="11" applyNumberFormat="1" applyFont="1"/>
    <xf numFmtId="167" fontId="55" fillId="0" borderId="0" xfId="0" applyNumberFormat="1" applyFont="1" applyAlignment="1">
      <alignment vertical="center"/>
    </xf>
    <xf numFmtId="0" fontId="166" fillId="26" borderId="21" xfId="0" applyFont="1" applyFill="1" applyBorder="1"/>
    <xf numFmtId="0" fontId="166" fillId="26" borderId="21" xfId="0" applyFont="1" applyFill="1" applyBorder="1" applyAlignment="1">
      <alignment wrapText="1"/>
    </xf>
    <xf numFmtId="3" fontId="166" fillId="26" borderId="21" xfId="0" applyNumberFormat="1" applyFont="1" applyFill="1" applyBorder="1"/>
    <xf numFmtId="0" fontId="0" fillId="26" borderId="0" xfId="0" applyFill="1"/>
    <xf numFmtId="3" fontId="0" fillId="26" borderId="0" xfId="0" applyNumberFormat="1" applyFill="1"/>
    <xf numFmtId="183" fontId="139" fillId="0" borderId="0" xfId="0" applyNumberFormat="1" applyFont="1"/>
    <xf numFmtId="262" fontId="37" fillId="0" borderId="0" xfId="0" applyNumberFormat="1" applyFont="1"/>
    <xf numFmtId="259" fontId="38" fillId="0" borderId="0" xfId="0" applyNumberFormat="1" applyFont="1"/>
    <xf numFmtId="0" fontId="167" fillId="32" borderId="21" xfId="0" applyFont="1" applyFill="1" applyBorder="1"/>
    <xf numFmtId="0" fontId="167" fillId="32" borderId="21" xfId="0" applyFont="1" applyFill="1" applyBorder="1" applyAlignment="1">
      <alignment wrapText="1"/>
    </xf>
    <xf numFmtId="0" fontId="166" fillId="32" borderId="21" xfId="0" applyFont="1" applyFill="1" applyBorder="1"/>
    <xf numFmtId="3" fontId="167" fillId="32" borderId="21" xfId="0" applyNumberFormat="1" applyFont="1" applyFill="1" applyBorder="1"/>
    <xf numFmtId="0" fontId="0" fillId="32" borderId="0" xfId="0" applyFill="1"/>
    <xf numFmtId="49" fontId="0" fillId="32" borderId="0" xfId="0" applyNumberFormat="1" applyFill="1"/>
    <xf numFmtId="0" fontId="166" fillId="32" borderId="21" xfId="0" applyFont="1" applyFill="1" applyBorder="1" applyAlignment="1">
      <alignment wrapText="1"/>
    </xf>
    <xf numFmtId="3" fontId="166" fillId="32" borderId="21" xfId="0" applyNumberFormat="1" applyFont="1" applyFill="1" applyBorder="1"/>
    <xf numFmtId="189" fontId="37" fillId="0" borderId="0" xfId="0" applyNumberFormat="1" applyFont="1"/>
    <xf numFmtId="195" fontId="139" fillId="0" borderId="0" xfId="0" applyNumberFormat="1" applyFont="1"/>
    <xf numFmtId="0" fontId="139" fillId="0" borderId="45" xfId="0" applyFont="1" applyBorder="1" applyAlignment="1">
      <alignment horizontal="center" vertical="center" wrapText="1"/>
    </xf>
    <xf numFmtId="0" fontId="139" fillId="0" borderId="45" xfId="0" applyFont="1" applyBorder="1" applyAlignment="1">
      <alignment horizontal="justify"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38" fillId="0" borderId="5" xfId="0" applyFont="1" applyBorder="1"/>
    <xf numFmtId="261" fontId="138" fillId="0" borderId="1" xfId="11" applyNumberFormat="1" applyFont="1" applyBorder="1" applyAlignment="1">
      <alignment horizontal="right" vertical="center" wrapText="1"/>
    </xf>
    <xf numFmtId="166" fontId="139" fillId="0" borderId="9" xfId="11" applyFont="1" applyBorder="1" applyAlignment="1">
      <alignment horizontal="right" vertical="center" wrapText="1"/>
    </xf>
    <xf numFmtId="261" fontId="139" fillId="0" borderId="9" xfId="11" applyNumberFormat="1" applyFont="1" applyBorder="1" applyAlignment="1">
      <alignment horizontal="right" vertical="center" wrapText="1"/>
    </xf>
    <xf numFmtId="167" fontId="138" fillId="0" borderId="9" xfId="0" applyNumberFormat="1" applyFont="1" applyBorder="1" applyAlignment="1">
      <alignment horizontal="right" vertical="center" wrapText="1"/>
    </xf>
    <xf numFmtId="261" fontId="139" fillId="0" borderId="15" xfId="11" applyNumberFormat="1" applyFont="1" applyBorder="1" applyAlignment="1">
      <alignment horizontal="right" vertical="center" wrapText="1"/>
    </xf>
    <xf numFmtId="167" fontId="138" fillId="0" borderId="15" xfId="0" applyNumberFormat="1" applyFont="1" applyBorder="1" applyAlignment="1">
      <alignment horizontal="right" vertical="center" wrapText="1"/>
    </xf>
    <xf numFmtId="183" fontId="50" fillId="0" borderId="0" xfId="0" applyNumberFormat="1" applyFont="1"/>
    <xf numFmtId="190" fontId="50" fillId="0" borderId="0" xfId="11" applyNumberFormat="1" applyFont="1" applyFill="1"/>
    <xf numFmtId="165" fontId="10" fillId="0" borderId="21" xfId="10" applyFont="1" applyFill="1" applyBorder="1" applyAlignment="1">
      <alignment horizontal="right" vertical="center" wrapText="1"/>
    </xf>
    <xf numFmtId="165" fontId="10" fillId="0" borderId="21" xfId="10" applyFont="1" applyBorder="1" applyAlignment="1">
      <alignment horizontal="right" vertical="center" wrapText="1"/>
    </xf>
    <xf numFmtId="0" fontId="10" fillId="0" borderId="45" xfId="0" applyFont="1" applyBorder="1" applyAlignment="1">
      <alignment horizontal="center" vertical="center" wrapText="1"/>
    </xf>
    <xf numFmtId="0" fontId="10" fillId="0" borderId="45" xfId="0" applyFont="1" applyBorder="1" applyAlignment="1">
      <alignment vertical="center" wrapText="1"/>
    </xf>
    <xf numFmtId="167" fontId="10" fillId="0" borderId="45" xfId="0" applyNumberFormat="1" applyFont="1" applyBorder="1" applyAlignment="1">
      <alignment horizontal="right" vertical="center" wrapText="1"/>
    </xf>
    <xf numFmtId="165" fontId="10" fillId="0" borderId="45" xfId="10" applyFont="1" applyBorder="1" applyAlignment="1">
      <alignment horizontal="center" vertical="center" wrapText="1"/>
    </xf>
    <xf numFmtId="174" fontId="10" fillId="0" borderId="7" xfId="10" applyNumberFormat="1" applyFont="1" applyFill="1" applyBorder="1" applyAlignment="1">
      <alignment horizontal="right" vertical="center" wrapText="1"/>
    </xf>
    <xf numFmtId="167" fontId="145" fillId="0" borderId="7" xfId="0" applyNumberFormat="1" applyFont="1" applyBorder="1" applyAlignment="1">
      <alignment horizontal="right" vertical="center" wrapText="1"/>
    </xf>
    <xf numFmtId="49" fontId="17" fillId="0" borderId="21" xfId="10" applyNumberFormat="1" applyFont="1" applyBorder="1" applyAlignment="1">
      <alignment horizontal="center" vertical="center" wrapText="1"/>
    </xf>
    <xf numFmtId="174" fontId="11" fillId="0" borderId="7" xfId="10" applyNumberFormat="1" applyFont="1" applyBorder="1" applyAlignment="1">
      <alignment horizontal="center" vertical="center" wrapText="1"/>
    </xf>
    <xf numFmtId="0" fontId="38" fillId="0" borderId="7" xfId="0" applyFont="1" applyBorder="1" applyAlignment="1">
      <alignment horizontal="left" vertical="center" wrapText="1"/>
    </xf>
    <xf numFmtId="183" fontId="10" fillId="0" borderId="1" xfId="0" applyNumberFormat="1" applyFont="1" applyBorder="1" applyAlignment="1">
      <alignment horizontal="right" vertical="center" wrapText="1"/>
    </xf>
    <xf numFmtId="259" fontId="17" fillId="0" borderId="7" xfId="10" applyNumberFormat="1" applyFont="1" applyBorder="1" applyAlignment="1">
      <alignment horizontal="right" vertical="center" wrapText="1"/>
    </xf>
    <xf numFmtId="3" fontId="175" fillId="0" borderId="0" xfId="0" applyNumberFormat="1" applyFont="1"/>
    <xf numFmtId="3" fontId="72" fillId="0" borderId="0" xfId="0" applyNumberFormat="1" applyFont="1"/>
    <xf numFmtId="183" fontId="138" fillId="0" borderId="0" xfId="0" applyNumberFormat="1" applyFont="1"/>
    <xf numFmtId="183" fontId="10" fillId="0" borderId="1" xfId="0" applyNumberFormat="1" applyFont="1" applyBorder="1" applyAlignment="1">
      <alignment horizontal="center" vertical="center" wrapText="1"/>
    </xf>
    <xf numFmtId="183" fontId="10" fillId="0" borderId="1" xfId="10" applyNumberFormat="1" applyFont="1" applyBorder="1" applyAlignment="1">
      <alignment horizontal="right" vertical="center" wrapText="1"/>
    </xf>
    <xf numFmtId="183" fontId="10" fillId="0" borderId="1" xfId="11" applyNumberFormat="1" applyFont="1" applyBorder="1" applyAlignment="1">
      <alignment horizontal="right" vertical="center" wrapText="1"/>
    </xf>
    <xf numFmtId="183" fontId="10" fillId="0" borderId="1" xfId="0" applyNumberFormat="1" applyFont="1" applyBorder="1" applyAlignment="1">
      <alignment horizontal="left" vertical="center" wrapText="1"/>
    </xf>
    <xf numFmtId="183" fontId="17" fillId="0" borderId="9" xfId="0" applyNumberFormat="1" applyFont="1" applyBorder="1" applyAlignment="1">
      <alignment vertical="center" wrapText="1"/>
    </xf>
    <xf numFmtId="183" fontId="17" fillId="0" borderId="9" xfId="10" applyNumberFormat="1" applyFont="1" applyBorder="1" applyAlignment="1">
      <alignment horizontal="right" vertical="center" wrapText="1"/>
    </xf>
    <xf numFmtId="183" fontId="17" fillId="0" borderId="7" xfId="0" applyNumberFormat="1" applyFont="1" applyBorder="1" applyAlignment="1">
      <alignment vertical="center" wrapText="1"/>
    </xf>
    <xf numFmtId="183" fontId="17" fillId="0" borderId="7" xfId="10" applyNumberFormat="1" applyFont="1" applyBorder="1" applyAlignment="1">
      <alignment horizontal="right" vertical="center" wrapText="1"/>
    </xf>
    <xf numFmtId="183" fontId="17" fillId="0" borderId="7" xfId="11" applyNumberFormat="1" applyFont="1" applyBorder="1" applyAlignment="1">
      <alignment horizontal="right" vertical="center" wrapText="1"/>
    </xf>
    <xf numFmtId="183" fontId="17" fillId="0" borderId="7" xfId="11" applyNumberFormat="1" applyFont="1" applyFill="1" applyBorder="1" applyAlignment="1">
      <alignment horizontal="right" vertical="center" wrapText="1"/>
    </xf>
    <xf numFmtId="183" fontId="17" fillId="3" borderId="7" xfId="0" applyNumberFormat="1" applyFont="1" applyFill="1" applyBorder="1" applyAlignment="1">
      <alignment horizontal="right" vertical="center" wrapText="1"/>
    </xf>
    <xf numFmtId="183" fontId="17" fillId="0" borderId="15" xfId="0" applyNumberFormat="1" applyFont="1" applyBorder="1" applyAlignment="1">
      <alignment vertical="center" wrapText="1"/>
    </xf>
    <xf numFmtId="166" fontId="17" fillId="0" borderId="9" xfId="11" applyFont="1" applyBorder="1" applyAlignment="1">
      <alignment horizontal="right" vertical="center" wrapText="1"/>
    </xf>
    <xf numFmtId="166" fontId="17" fillId="3" borderId="7" xfId="11" applyFont="1" applyFill="1" applyBorder="1" applyAlignment="1">
      <alignment horizontal="right" vertical="center" wrapText="1"/>
    </xf>
    <xf numFmtId="166" fontId="17" fillId="0" borderId="15" xfId="11" applyFont="1" applyBorder="1" applyAlignment="1">
      <alignment horizontal="right" vertical="center" wrapText="1"/>
    </xf>
    <xf numFmtId="166" fontId="10" fillId="0" borderId="0" xfId="11" applyFont="1" applyAlignment="1">
      <alignment horizontal="center"/>
    </xf>
    <xf numFmtId="183" fontId="55" fillId="0" borderId="0" xfId="0" applyNumberFormat="1" applyFont="1"/>
    <xf numFmtId="183" fontId="15" fillId="0" borderId="7" xfId="0" applyNumberFormat="1" applyFont="1" applyBorder="1" applyAlignment="1">
      <alignment horizontal="right" vertical="center" wrapText="1"/>
    </xf>
    <xf numFmtId="259" fontId="10" fillId="0" borderId="7" xfId="10" applyNumberFormat="1" applyFont="1" applyBorder="1" applyAlignment="1">
      <alignment horizontal="right" vertical="center" wrapText="1"/>
    </xf>
    <xf numFmtId="183" fontId="15" fillId="26" borderId="7" xfId="0" applyNumberFormat="1" applyFont="1" applyFill="1" applyBorder="1" applyAlignment="1">
      <alignment horizontal="right" vertical="center" wrapText="1"/>
    </xf>
    <xf numFmtId="250" fontId="77" fillId="0" borderId="0" xfId="0" applyNumberFormat="1" applyFont="1"/>
    <xf numFmtId="213" fontId="77" fillId="0" borderId="0" xfId="0" applyNumberFormat="1" applyFont="1"/>
    <xf numFmtId="213" fontId="77" fillId="0" borderId="0" xfId="11" applyNumberFormat="1" applyFont="1"/>
    <xf numFmtId="4" fontId="10" fillId="0" borderId="4" xfId="0" applyNumberFormat="1" applyFont="1" applyBorder="1" applyAlignment="1">
      <alignment horizontal="center" vertical="center" wrapText="1"/>
    </xf>
    <xf numFmtId="177" fontId="10" fillId="3" borderId="4" xfId="10" applyNumberFormat="1" applyFont="1" applyFill="1" applyBorder="1" applyAlignment="1">
      <alignment horizontal="center" vertical="center" wrapText="1"/>
    </xf>
    <xf numFmtId="0" fontId="17" fillId="0" borderId="0" xfId="0" applyFont="1" applyAlignment="1">
      <alignment wrapText="1"/>
    </xf>
    <xf numFmtId="0" fontId="10" fillId="0" borderId="0" xfId="0" applyFont="1" applyAlignment="1">
      <alignment wrapText="1"/>
    </xf>
    <xf numFmtId="0" fontId="17" fillId="33" borderId="1" xfId="0" applyFont="1" applyFill="1" applyBorder="1" applyAlignment="1">
      <alignment horizontal="center" vertical="center" wrapText="1"/>
    </xf>
    <xf numFmtId="0" fontId="40" fillId="33" borderId="1" xfId="0" applyFont="1" applyFill="1" applyBorder="1" applyAlignment="1">
      <alignment horizontal="left" vertical="center" wrapText="1"/>
    </xf>
    <xf numFmtId="1" fontId="17" fillId="33" borderId="1" xfId="0" applyNumberFormat="1" applyFont="1" applyFill="1" applyBorder="1" applyAlignment="1">
      <alignment horizontal="center" vertical="center" wrapText="1"/>
    </xf>
    <xf numFmtId="167" fontId="10" fillId="33" borderId="1" xfId="0" applyNumberFormat="1" applyFont="1" applyFill="1" applyBorder="1" applyAlignment="1">
      <alignment vertical="center" wrapText="1"/>
    </xf>
    <xf numFmtId="183" fontId="17" fillId="33" borderId="1" xfId="0" applyNumberFormat="1" applyFont="1" applyFill="1" applyBorder="1" applyAlignment="1">
      <alignment vertical="center" wrapText="1"/>
    </xf>
    <xf numFmtId="9" fontId="17" fillId="33" borderId="1" xfId="10" applyNumberFormat="1" applyFont="1" applyFill="1" applyBorder="1" applyAlignment="1">
      <alignment vertical="center" wrapText="1"/>
    </xf>
    <xf numFmtId="166" fontId="17" fillId="33" borderId="0" xfId="11" applyFont="1" applyFill="1" applyBorder="1" applyAlignment="1"/>
    <xf numFmtId="0" fontId="17" fillId="33" borderId="0" xfId="0" applyFont="1" applyFill="1"/>
    <xf numFmtId="203" fontId="17" fillId="33" borderId="0" xfId="0" applyNumberFormat="1" applyFont="1" applyFill="1"/>
    <xf numFmtId="168" fontId="17" fillId="33" borderId="0" xfId="0" applyNumberFormat="1" applyFont="1" applyFill="1"/>
    <xf numFmtId="190" fontId="17" fillId="33" borderId="0" xfId="11" applyNumberFormat="1" applyFont="1" applyFill="1" applyAlignment="1"/>
    <xf numFmtId="166" fontId="17" fillId="33" borderId="0" xfId="11" applyFont="1" applyFill="1" applyAlignment="1"/>
    <xf numFmtId="176" fontId="17" fillId="33" borderId="0" xfId="0" applyNumberFormat="1" applyFont="1" applyFill="1"/>
    <xf numFmtId="262" fontId="17" fillId="33" borderId="0" xfId="0" applyNumberFormat="1" applyFont="1" applyFill="1"/>
    <xf numFmtId="4" fontId="17" fillId="33" borderId="0" xfId="0" applyNumberFormat="1" applyFont="1" applyFill="1" applyAlignment="1">
      <alignment wrapText="1"/>
    </xf>
    <xf numFmtId="262" fontId="17" fillId="33" borderId="0" xfId="0" applyNumberFormat="1" applyFont="1" applyFill="1" applyAlignment="1">
      <alignment wrapText="1"/>
    </xf>
    <xf numFmtId="4" fontId="17" fillId="0" borderId="0" xfId="0" applyNumberFormat="1" applyFont="1" applyAlignment="1">
      <alignment wrapText="1"/>
    </xf>
    <xf numFmtId="262" fontId="17" fillId="0" borderId="0" xfId="0" applyNumberFormat="1" applyFont="1" applyAlignment="1">
      <alignment wrapText="1"/>
    </xf>
    <xf numFmtId="0" fontId="17" fillId="34" borderId="1" xfId="0" applyFont="1" applyFill="1" applyBorder="1" applyAlignment="1">
      <alignment horizontal="center" vertical="center" wrapText="1"/>
    </xf>
    <xf numFmtId="0" fontId="40" fillId="34" borderId="1" xfId="0" applyFont="1" applyFill="1" applyBorder="1" applyAlignment="1">
      <alignment horizontal="left" vertical="center" wrapText="1"/>
    </xf>
    <xf numFmtId="167" fontId="10" fillId="34" borderId="1" xfId="0" applyNumberFormat="1" applyFont="1" applyFill="1" applyBorder="1" applyAlignment="1">
      <alignment vertical="center" wrapText="1"/>
    </xf>
    <xf numFmtId="183" fontId="17" fillId="34" borderId="1" xfId="0" applyNumberFormat="1" applyFont="1" applyFill="1" applyBorder="1" applyAlignment="1">
      <alignment vertical="center" wrapText="1"/>
    </xf>
    <xf numFmtId="9" fontId="17" fillId="34" borderId="1" xfId="10" applyNumberFormat="1" applyFont="1" applyFill="1" applyBorder="1" applyAlignment="1">
      <alignment vertical="center" wrapText="1"/>
    </xf>
    <xf numFmtId="166" fontId="17" fillId="34" borderId="0" xfId="11" applyFont="1" applyFill="1" applyBorder="1" applyAlignment="1"/>
    <xf numFmtId="0" fontId="17" fillId="34" borderId="0" xfId="0" applyFont="1" applyFill="1"/>
    <xf numFmtId="186" fontId="17" fillId="34" borderId="0" xfId="11" applyNumberFormat="1" applyFont="1" applyFill="1" applyAlignment="1"/>
    <xf numFmtId="184" fontId="17" fillId="34" borderId="0" xfId="11" applyNumberFormat="1" applyFont="1" applyFill="1" applyAlignment="1"/>
    <xf numFmtId="166" fontId="17" fillId="34" borderId="0" xfId="11" applyFont="1" applyFill="1" applyAlignment="1"/>
    <xf numFmtId="0" fontId="17" fillId="34" borderId="0" xfId="0" applyFont="1" applyFill="1" applyAlignment="1">
      <alignment wrapText="1"/>
    </xf>
    <xf numFmtId="0" fontId="40" fillId="34" borderId="1" xfId="0" applyFont="1" applyFill="1" applyBorder="1" applyAlignment="1">
      <alignment horizontal="center" vertical="center" wrapText="1"/>
    </xf>
    <xf numFmtId="167" fontId="17" fillId="34" borderId="1" xfId="0" applyNumberFormat="1" applyFont="1" applyFill="1" applyBorder="1" applyAlignment="1">
      <alignment vertical="center" wrapText="1"/>
    </xf>
    <xf numFmtId="174" fontId="17" fillId="34" borderId="1" xfId="0" applyNumberFormat="1" applyFont="1" applyFill="1" applyBorder="1" applyAlignment="1">
      <alignment vertical="center" wrapText="1"/>
    </xf>
    <xf numFmtId="1" fontId="17" fillId="34" borderId="1" xfId="86" applyNumberFormat="1" applyFont="1" applyFill="1" applyBorder="1" applyAlignment="1">
      <alignment horizontal="center" vertical="center" wrapText="1"/>
    </xf>
    <xf numFmtId="49" fontId="44" fillId="35" borderId="1" xfId="0" quotePrefix="1" applyNumberFormat="1" applyFont="1" applyFill="1" applyBorder="1" applyAlignment="1">
      <alignment horizontal="center" vertical="center" wrapText="1"/>
    </xf>
    <xf numFmtId="0" fontId="44" fillId="35" borderId="1" xfId="0" applyFont="1" applyFill="1" applyBorder="1" applyAlignment="1">
      <alignment horizontal="left" vertical="center" wrapText="1"/>
    </xf>
    <xf numFmtId="0" fontId="40" fillId="35" borderId="1" xfId="0" applyFont="1" applyFill="1" applyBorder="1" applyAlignment="1">
      <alignment horizontal="center" vertical="center" wrapText="1"/>
    </xf>
    <xf numFmtId="167" fontId="10" fillId="35" borderId="1" xfId="0" applyNumberFormat="1" applyFont="1" applyFill="1" applyBorder="1" applyAlignment="1">
      <alignment vertical="center" wrapText="1"/>
    </xf>
    <xf numFmtId="9" fontId="10" fillId="35" borderId="1" xfId="10" applyNumberFormat="1" applyFont="1" applyFill="1" applyBorder="1" applyAlignment="1">
      <alignment vertical="center" wrapText="1"/>
    </xf>
    <xf numFmtId="166" fontId="17" fillId="35" borderId="0" xfId="11" applyFont="1" applyFill="1" applyBorder="1" applyAlignment="1"/>
    <xf numFmtId="0" fontId="17" fillId="35" borderId="0" xfId="0" applyFont="1" applyFill="1"/>
    <xf numFmtId="186" fontId="17" fillId="35" borderId="0" xfId="11" applyNumberFormat="1" applyFont="1" applyFill="1" applyAlignment="1"/>
    <xf numFmtId="184" fontId="17" fillId="35" borderId="0" xfId="11" applyNumberFormat="1" applyFont="1" applyFill="1" applyAlignment="1"/>
    <xf numFmtId="166" fontId="17" fillId="35" borderId="0" xfId="11" applyFont="1" applyFill="1" applyAlignment="1"/>
    <xf numFmtId="0" fontId="17" fillId="35" borderId="0" xfId="0" applyFont="1" applyFill="1" applyAlignment="1">
      <alignment wrapText="1"/>
    </xf>
    <xf numFmtId="49" fontId="40" fillId="33" borderId="1" xfId="0" quotePrefix="1" applyNumberFormat="1" applyFont="1" applyFill="1" applyBorder="1" applyAlignment="1">
      <alignment horizontal="center" vertical="center" wrapText="1"/>
    </xf>
    <xf numFmtId="167" fontId="17" fillId="33" borderId="1" xfId="0" applyNumberFormat="1" applyFont="1" applyFill="1" applyBorder="1" applyAlignment="1">
      <alignment vertical="center" wrapText="1"/>
    </xf>
    <xf numFmtId="174" fontId="17" fillId="33" borderId="1" xfId="0" applyNumberFormat="1" applyFont="1" applyFill="1" applyBorder="1" applyAlignment="1">
      <alignment vertical="center" wrapText="1"/>
    </xf>
    <xf numFmtId="186" fontId="17" fillId="33" borderId="0" xfId="11" applyNumberFormat="1" applyFont="1" applyFill="1" applyAlignment="1"/>
    <xf numFmtId="184" fontId="17" fillId="33" borderId="0" xfId="11" applyNumberFormat="1" applyFont="1" applyFill="1" applyAlignment="1"/>
    <xf numFmtId="0" fontId="17" fillId="33" borderId="0" xfId="0" applyFont="1" applyFill="1" applyAlignment="1">
      <alignment wrapText="1"/>
    </xf>
    <xf numFmtId="0" fontId="40" fillId="33" borderId="1" xfId="0" applyFont="1" applyFill="1" applyBorder="1" applyAlignment="1">
      <alignment horizontal="center" vertical="center" wrapText="1"/>
    </xf>
    <xf numFmtId="174" fontId="10" fillId="33" borderId="16" xfId="10" applyNumberFormat="1" applyFont="1" applyFill="1" applyBorder="1" applyAlignment="1">
      <alignment wrapText="1"/>
    </xf>
    <xf numFmtId="204" fontId="10" fillId="33" borderId="0" xfId="0" applyNumberFormat="1" applyFont="1" applyFill="1"/>
    <xf numFmtId="186" fontId="10" fillId="33" borderId="0" xfId="11" applyNumberFormat="1" applyFont="1" applyFill="1" applyAlignment="1"/>
    <xf numFmtId="49" fontId="40" fillId="34" borderId="1" xfId="0" quotePrefix="1" applyNumberFormat="1" applyFont="1" applyFill="1" applyBorder="1" applyAlignment="1">
      <alignment horizontal="center" vertical="center" wrapText="1"/>
    </xf>
    <xf numFmtId="1" fontId="17" fillId="34" borderId="45" xfId="86" applyNumberFormat="1" applyFont="1" applyFill="1" applyBorder="1" applyAlignment="1">
      <alignment horizontal="center" vertical="center" wrapText="1"/>
    </xf>
    <xf numFmtId="167" fontId="17" fillId="34" borderId="0" xfId="0" applyNumberFormat="1" applyFont="1" applyFill="1"/>
    <xf numFmtId="175" fontId="17" fillId="34" borderId="0" xfId="0" applyNumberFormat="1" applyFont="1" applyFill="1"/>
    <xf numFmtId="176" fontId="17" fillId="34" borderId="0" xfId="11" applyNumberFormat="1" applyFont="1" applyFill="1" applyAlignment="1"/>
    <xf numFmtId="0" fontId="10" fillId="36" borderId="1" xfId="0" applyFont="1" applyFill="1" applyBorder="1" applyAlignment="1">
      <alignment horizontal="center" vertical="center" wrapText="1"/>
    </xf>
    <xf numFmtId="1" fontId="10" fillId="36" borderId="1" xfId="79" applyNumberFormat="1" applyFont="1" applyFill="1" applyBorder="1" applyAlignment="1">
      <alignment horizontal="left" vertical="center" wrapText="1"/>
    </xf>
    <xf numFmtId="0" fontId="44" fillId="36" borderId="1" xfId="0" applyFont="1" applyFill="1" applyBorder="1" applyAlignment="1">
      <alignment horizontal="center" vertical="center" wrapText="1"/>
    </xf>
    <xf numFmtId="167" fontId="10" fillId="36" borderId="1" xfId="0" applyNumberFormat="1" applyFont="1" applyFill="1" applyBorder="1" applyAlignment="1">
      <alignment vertical="center" wrapText="1"/>
    </xf>
    <xf numFmtId="9" fontId="10" fillId="36" borderId="1" xfId="10" applyNumberFormat="1" applyFont="1" applyFill="1" applyBorder="1" applyAlignment="1">
      <alignment vertical="center" wrapText="1"/>
    </xf>
    <xf numFmtId="167" fontId="17" fillId="36" borderId="0" xfId="0" applyNumberFormat="1" applyFont="1" applyFill="1"/>
    <xf numFmtId="0" fontId="17" fillId="36" borderId="0" xfId="0" applyFont="1" applyFill="1"/>
    <xf numFmtId="186" fontId="17" fillId="36" borderId="0" xfId="11" applyNumberFormat="1" applyFont="1" applyFill="1" applyAlignment="1"/>
    <xf numFmtId="166" fontId="17" fillId="36" borderId="0" xfId="11" applyFont="1" applyFill="1" applyAlignment="1"/>
    <xf numFmtId="0" fontId="17" fillId="36" borderId="0" xfId="0" applyFont="1" applyFill="1" applyAlignment="1">
      <alignment wrapText="1"/>
    </xf>
    <xf numFmtId="0" fontId="17" fillId="37" borderId="1" xfId="0" applyFont="1" applyFill="1" applyBorder="1" applyAlignment="1">
      <alignment horizontal="center" vertical="center" wrapText="1"/>
    </xf>
    <xf numFmtId="0" fontId="40" fillId="37" borderId="1" xfId="0" applyFont="1" applyFill="1" applyBorder="1" applyAlignment="1">
      <alignment horizontal="left" vertical="center" wrapText="1"/>
    </xf>
    <xf numFmtId="1" fontId="17" fillId="37" borderId="1" xfId="86" applyNumberFormat="1" applyFont="1" applyFill="1" applyBorder="1" applyAlignment="1">
      <alignment horizontal="center" vertical="center" wrapText="1"/>
    </xf>
    <xf numFmtId="167" fontId="10" fillId="37" borderId="1" xfId="0" applyNumberFormat="1" applyFont="1" applyFill="1" applyBorder="1" applyAlignment="1">
      <alignment vertical="center" wrapText="1"/>
    </xf>
    <xf numFmtId="167" fontId="17" fillId="37" borderId="1" xfId="0" applyNumberFormat="1" applyFont="1" applyFill="1" applyBorder="1" applyAlignment="1">
      <alignment vertical="center" wrapText="1"/>
    </xf>
    <xf numFmtId="174" fontId="17" fillId="37" borderId="1" xfId="0" applyNumberFormat="1" applyFont="1" applyFill="1" applyBorder="1" applyAlignment="1">
      <alignment vertical="center" wrapText="1"/>
    </xf>
    <xf numFmtId="9" fontId="17" fillId="37" borderId="1" xfId="10" applyNumberFormat="1" applyFont="1" applyFill="1" applyBorder="1" applyAlignment="1">
      <alignment vertical="center" wrapText="1"/>
    </xf>
    <xf numFmtId="167" fontId="17" fillId="37" borderId="0" xfId="0" applyNumberFormat="1" applyFont="1" applyFill="1"/>
    <xf numFmtId="0" fontId="17" fillId="37" borderId="0" xfId="0" applyFont="1" applyFill="1"/>
    <xf numFmtId="168" fontId="17" fillId="37" borderId="0" xfId="0" applyNumberFormat="1" applyFont="1" applyFill="1"/>
    <xf numFmtId="0" fontId="17" fillId="37" borderId="0" xfId="0" applyFont="1" applyFill="1" applyAlignment="1">
      <alignment wrapText="1"/>
    </xf>
    <xf numFmtId="174" fontId="10" fillId="37" borderId="1" xfId="0" applyNumberFormat="1" applyFont="1" applyFill="1" applyBorder="1" applyAlignment="1">
      <alignment vertical="center" wrapText="1"/>
    </xf>
    <xf numFmtId="166" fontId="17" fillId="37" borderId="1" xfId="11" applyFont="1" applyFill="1" applyBorder="1" applyAlignment="1">
      <alignment vertical="center" wrapText="1"/>
    </xf>
    <xf numFmtId="186" fontId="17" fillId="37" borderId="0" xfId="11" applyNumberFormat="1" applyFont="1" applyFill="1" applyAlignment="1"/>
    <xf numFmtId="204" fontId="17" fillId="37" borderId="0" xfId="0" applyNumberFormat="1" applyFont="1" applyFill="1"/>
    <xf numFmtId="166" fontId="17" fillId="37" borderId="0" xfId="11" applyFont="1" applyFill="1" applyAlignment="1"/>
    <xf numFmtId="0" fontId="80" fillId="37" borderId="1" xfId="0" applyFont="1" applyFill="1" applyBorder="1" applyAlignment="1">
      <alignment horizontal="center" vertical="center" wrapText="1"/>
    </xf>
    <xf numFmtId="1" fontId="40" fillId="37" borderId="1" xfId="86" applyNumberFormat="1" applyFont="1" applyFill="1" applyBorder="1" applyAlignment="1">
      <alignment horizontal="center" vertical="center" wrapText="1"/>
    </xf>
    <xf numFmtId="167" fontId="117" fillId="37" borderId="1" xfId="0" applyNumberFormat="1" applyFont="1" applyFill="1" applyBorder="1" applyAlignment="1">
      <alignment vertical="center" wrapText="1"/>
    </xf>
    <xf numFmtId="167" fontId="40" fillId="37" borderId="1" xfId="0" applyNumberFormat="1" applyFont="1" applyFill="1" applyBorder="1" applyAlignment="1">
      <alignment vertical="center" wrapText="1"/>
    </xf>
    <xf numFmtId="174" fontId="44" fillId="37" borderId="1" xfId="0" applyNumberFormat="1" applyFont="1" applyFill="1" applyBorder="1" applyAlignment="1">
      <alignment vertical="center" wrapText="1"/>
    </xf>
    <xf numFmtId="0" fontId="17" fillId="37" borderId="3" xfId="0" applyFont="1" applyFill="1" applyBorder="1" applyAlignment="1">
      <alignment wrapText="1"/>
    </xf>
    <xf numFmtId="49" fontId="44" fillId="37" borderId="1" xfId="0" quotePrefix="1" applyNumberFormat="1" applyFont="1" applyFill="1" applyBorder="1" applyAlignment="1">
      <alignment horizontal="center" vertical="center" wrapText="1"/>
    </xf>
    <xf numFmtId="0" fontId="44" fillId="37" borderId="1" xfId="0" applyFont="1" applyFill="1" applyBorder="1" applyAlignment="1">
      <alignment horizontal="left" vertical="center" wrapText="1"/>
    </xf>
    <xf numFmtId="0" fontId="40" fillId="37" borderId="1" xfId="0" applyFont="1" applyFill="1" applyBorder="1" applyAlignment="1">
      <alignment horizontal="center" vertical="center" wrapText="1"/>
    </xf>
    <xf numFmtId="9" fontId="10" fillId="37" borderId="1" xfId="10" applyNumberFormat="1" applyFont="1" applyFill="1" applyBorder="1" applyAlignment="1">
      <alignment vertical="center" wrapText="1"/>
    </xf>
    <xf numFmtId="166" fontId="17" fillId="37" borderId="0" xfId="11" applyFont="1" applyFill="1" applyBorder="1" applyAlignment="1"/>
    <xf numFmtId="4" fontId="17" fillId="33" borderId="1" xfId="0" applyNumberFormat="1" applyFont="1" applyFill="1" applyBorder="1" applyAlignment="1">
      <alignment vertical="center" wrapText="1"/>
    </xf>
    <xf numFmtId="166" fontId="10" fillId="33" borderId="16" xfId="11" applyFont="1" applyFill="1" applyBorder="1" applyAlignment="1"/>
    <xf numFmtId="176" fontId="10" fillId="33" borderId="0" xfId="11" applyNumberFormat="1" applyFont="1" applyFill="1" applyAlignment="1"/>
    <xf numFmtId="0" fontId="10" fillId="33" borderId="0" xfId="0" applyFont="1" applyFill="1"/>
    <xf numFmtId="190" fontId="10" fillId="33" borderId="0" xfId="11" applyNumberFormat="1" applyFont="1" applyFill="1" applyAlignment="1"/>
    <xf numFmtId="0" fontId="10" fillId="33" borderId="0" xfId="0" applyFont="1" applyFill="1" applyAlignment="1">
      <alignment wrapText="1"/>
    </xf>
    <xf numFmtId="49" fontId="44" fillId="36" borderId="1" xfId="0" quotePrefix="1" applyNumberFormat="1" applyFont="1" applyFill="1" applyBorder="1" applyAlignment="1">
      <alignment horizontal="center" vertical="center" wrapText="1"/>
    </xf>
    <xf numFmtId="0" fontId="44" fillId="36" borderId="1" xfId="0" applyFont="1" applyFill="1" applyBorder="1" applyAlignment="1">
      <alignment horizontal="left" vertical="center" wrapText="1"/>
    </xf>
    <xf numFmtId="0" fontId="40" fillId="36" borderId="1" xfId="0" applyFont="1" applyFill="1" applyBorder="1" applyAlignment="1">
      <alignment horizontal="center" vertical="center" wrapText="1"/>
    </xf>
    <xf numFmtId="4" fontId="10" fillId="36" borderId="1" xfId="0" applyNumberFormat="1" applyFont="1" applyFill="1" applyBorder="1" applyAlignment="1">
      <alignment vertical="center" wrapText="1"/>
    </xf>
    <xf numFmtId="166" fontId="10" fillId="36" borderId="16" xfId="11" applyFont="1" applyFill="1" applyBorder="1" applyAlignment="1"/>
    <xf numFmtId="176" fontId="10" fillId="36" borderId="0" xfId="11" applyNumberFormat="1" applyFont="1" applyFill="1" applyAlignment="1"/>
    <xf numFmtId="0" fontId="10" fillId="36" borderId="0" xfId="0" applyFont="1" applyFill="1"/>
    <xf numFmtId="190" fontId="10" fillId="36" borderId="0" xfId="11" applyNumberFormat="1" applyFont="1" applyFill="1" applyAlignment="1"/>
    <xf numFmtId="0" fontId="10" fillId="36" borderId="0" xfId="0" applyFont="1" applyFill="1" applyAlignment="1">
      <alignment wrapText="1"/>
    </xf>
    <xf numFmtId="49" fontId="40" fillId="35" borderId="1" xfId="0" quotePrefix="1" applyNumberFormat="1" applyFont="1" applyFill="1" applyBorder="1" applyAlignment="1">
      <alignment horizontal="center" vertical="center" wrapText="1"/>
    </xf>
    <xf numFmtId="0" fontId="40" fillId="35" borderId="1" xfId="0" applyFont="1" applyFill="1" applyBorder="1" applyAlignment="1">
      <alignment horizontal="left" vertical="center" wrapText="1"/>
    </xf>
    <xf numFmtId="4" fontId="40" fillId="35" borderId="1" xfId="10" applyNumberFormat="1" applyFont="1" applyFill="1" applyBorder="1" applyAlignment="1">
      <alignment vertical="center" wrapText="1"/>
    </xf>
    <xf numFmtId="4" fontId="80" fillId="35" borderId="1" xfId="0" applyNumberFormat="1" applyFont="1" applyFill="1" applyBorder="1" applyAlignment="1">
      <alignment vertical="center" wrapText="1"/>
    </xf>
    <xf numFmtId="167" fontId="17" fillId="35" borderId="0" xfId="0" applyNumberFormat="1" applyFont="1" applyFill="1"/>
    <xf numFmtId="176" fontId="10" fillId="35" borderId="0" xfId="11" applyNumberFormat="1" applyFont="1" applyFill="1" applyAlignment="1"/>
    <xf numFmtId="0" fontId="10" fillId="35" borderId="0" xfId="0" applyFont="1" applyFill="1"/>
    <xf numFmtId="190" fontId="10" fillId="35" borderId="0" xfId="11" applyNumberFormat="1" applyFont="1" applyFill="1" applyAlignment="1"/>
    <xf numFmtId="0" fontId="10" fillId="35" borderId="0" xfId="0" applyFont="1" applyFill="1" applyAlignment="1">
      <alignment wrapText="1"/>
    </xf>
    <xf numFmtId="4" fontId="17" fillId="35" borderId="1" xfId="0" applyNumberFormat="1" applyFont="1" applyFill="1" applyBorder="1" applyAlignment="1">
      <alignment vertical="center" wrapText="1"/>
    </xf>
    <xf numFmtId="176" fontId="10" fillId="35" borderId="16" xfId="11" applyNumberFormat="1" applyFont="1" applyFill="1" applyBorder="1" applyAlignment="1"/>
    <xf numFmtId="0" fontId="10" fillId="2" borderId="0" xfId="0" applyFont="1" applyFill="1" applyAlignment="1">
      <alignment horizontal="center" vertical="center"/>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37" fontId="10" fillId="2" borderId="1" xfId="10" applyNumberFormat="1" applyFont="1" applyFill="1" applyBorder="1" applyAlignment="1">
      <alignment vertical="center"/>
    </xf>
    <xf numFmtId="9" fontId="10" fillId="2" borderId="1" xfId="10" applyNumberFormat="1" applyFont="1" applyFill="1" applyBorder="1" applyAlignment="1">
      <alignment vertical="center" wrapText="1"/>
    </xf>
    <xf numFmtId="0" fontId="10" fillId="2" borderId="0" xfId="0" applyFont="1" applyFill="1"/>
    <xf numFmtId="0" fontId="10" fillId="2" borderId="0" xfId="0" applyFont="1" applyFill="1" applyAlignment="1">
      <alignment wrapText="1"/>
    </xf>
    <xf numFmtId="0" fontId="50" fillId="34" borderId="10" xfId="0" applyFont="1" applyFill="1" applyBorder="1" applyAlignment="1">
      <alignment horizontal="center" vertical="center"/>
    </xf>
    <xf numFmtId="0" fontId="50" fillId="34" borderId="1" xfId="0" applyFont="1" applyFill="1" applyBorder="1" applyAlignment="1">
      <alignment horizontal="left" vertical="center" wrapText="1"/>
    </xf>
    <xf numFmtId="0" fontId="10" fillId="34" borderId="1" xfId="0" applyFont="1" applyFill="1" applyBorder="1" applyAlignment="1">
      <alignment horizontal="center" vertical="center"/>
    </xf>
    <xf numFmtId="4" fontId="10" fillId="34" borderId="1" xfId="11" applyNumberFormat="1" applyFont="1" applyFill="1" applyBorder="1" applyAlignment="1">
      <alignment vertical="center"/>
    </xf>
    <xf numFmtId="4" fontId="50" fillId="34" borderId="1" xfId="11" applyNumberFormat="1" applyFont="1" applyFill="1" applyBorder="1" applyAlignment="1">
      <alignment vertical="center"/>
    </xf>
    <xf numFmtId="9" fontId="10" fillId="34" borderId="1" xfId="10" applyNumberFormat="1" applyFont="1" applyFill="1" applyBorder="1" applyAlignment="1">
      <alignment vertical="center" wrapText="1"/>
    </xf>
    <xf numFmtId="0" fontId="47" fillId="2" borderId="10" xfId="0" applyFont="1" applyFill="1" applyBorder="1" applyAlignment="1">
      <alignment horizontal="center" vertical="center"/>
    </xf>
    <xf numFmtId="0" fontId="50" fillId="2" borderId="1" xfId="0" applyFont="1" applyFill="1" applyBorder="1" applyAlignment="1">
      <alignment horizontal="left" vertical="center" wrapText="1"/>
    </xf>
    <xf numFmtId="0" fontId="17" fillId="2" borderId="1" xfId="0" applyFont="1" applyFill="1" applyBorder="1" applyAlignment="1">
      <alignment horizontal="center" vertical="center"/>
    </xf>
    <xf numFmtId="4" fontId="10" fillId="2" borderId="1" xfId="11" applyNumberFormat="1" applyFont="1" applyFill="1" applyBorder="1" applyAlignment="1">
      <alignment vertical="center"/>
    </xf>
    <xf numFmtId="4" fontId="47" fillId="2" borderId="1" xfId="0" applyNumberFormat="1" applyFont="1" applyFill="1" applyBorder="1" applyAlignment="1">
      <alignment vertical="center"/>
    </xf>
    <xf numFmtId="4" fontId="50" fillId="2" borderId="1" xfId="11" applyNumberFormat="1" applyFont="1" applyFill="1" applyBorder="1" applyAlignment="1">
      <alignment vertical="center"/>
    </xf>
    <xf numFmtId="0" fontId="17" fillId="2" borderId="0" xfId="0" applyFont="1" applyFill="1"/>
    <xf numFmtId="0" fontId="17" fillId="2" borderId="0" xfId="0" applyFont="1" applyFill="1" applyAlignment="1">
      <alignment wrapText="1"/>
    </xf>
    <xf numFmtId="0" fontId="47" fillId="2" borderId="10" xfId="0" applyFont="1" applyFill="1" applyBorder="1" applyAlignment="1">
      <alignment horizontal="center" vertical="center" wrapText="1"/>
    </xf>
    <xf numFmtId="183" fontId="17" fillId="2" borderId="1" xfId="79" applyNumberFormat="1" applyFont="1" applyFill="1" applyBorder="1" applyAlignment="1">
      <alignment horizontal="left" vertical="center" wrapText="1"/>
    </xf>
    <xf numFmtId="4" fontId="17" fillId="2" borderId="1" xfId="11" applyNumberFormat="1" applyFont="1" applyFill="1" applyBorder="1" applyAlignment="1">
      <alignment vertical="center"/>
    </xf>
    <xf numFmtId="4" fontId="47" fillId="2" borderId="1" xfId="11" applyNumberFormat="1" applyFont="1" applyFill="1" applyBorder="1" applyAlignment="1">
      <alignment vertical="center"/>
    </xf>
    <xf numFmtId="4" fontId="17" fillId="2" borderId="1" xfId="10" applyNumberFormat="1" applyFont="1" applyFill="1" applyBorder="1" applyAlignment="1">
      <alignment vertical="center"/>
    </xf>
    <xf numFmtId="9" fontId="17" fillId="2" borderId="1" xfId="10" applyNumberFormat="1" applyFont="1" applyFill="1" applyBorder="1" applyAlignment="1">
      <alignment vertical="center" wrapText="1"/>
    </xf>
    <xf numFmtId="0" fontId="50" fillId="2" borderId="10" xfId="0" applyFont="1" applyFill="1" applyBorder="1" applyAlignment="1">
      <alignment horizontal="center" vertical="center"/>
    </xf>
    <xf numFmtId="166" fontId="17" fillId="2" borderId="1" xfId="11" applyFont="1" applyFill="1" applyBorder="1" applyAlignment="1">
      <alignment vertical="center" wrapText="1"/>
    </xf>
    <xf numFmtId="0" fontId="40" fillId="2" borderId="10" xfId="0" applyFont="1" applyFill="1" applyBorder="1" applyAlignment="1">
      <alignment horizontal="center" vertical="center"/>
    </xf>
    <xf numFmtId="4" fontId="17" fillId="2" borderId="1" xfId="0" applyNumberFormat="1" applyFont="1" applyFill="1" applyBorder="1" applyAlignment="1">
      <alignment vertical="center"/>
    </xf>
    <xf numFmtId="49" fontId="44" fillId="36" borderId="10" xfId="0" quotePrefix="1" applyNumberFormat="1" applyFont="1" applyFill="1" applyBorder="1" applyAlignment="1">
      <alignment horizontal="center" vertical="center" wrapText="1"/>
    </xf>
    <xf numFmtId="0" fontId="17" fillId="36" borderId="1" xfId="0" applyFont="1" applyFill="1" applyBorder="1" applyAlignment="1">
      <alignment horizontal="center" vertical="center"/>
    </xf>
    <xf numFmtId="4" fontId="10" fillId="36" borderId="1" xfId="11" applyNumberFormat="1" applyFont="1" applyFill="1" applyBorder="1" applyAlignment="1">
      <alignment vertical="center"/>
    </xf>
    <xf numFmtId="4" fontId="44" fillId="36" borderId="1" xfId="11" applyNumberFormat="1" applyFont="1" applyFill="1" applyBorder="1" applyAlignment="1">
      <alignment vertical="center"/>
    </xf>
    <xf numFmtId="4" fontId="44" fillId="2" borderId="1" xfId="11" applyNumberFormat="1" applyFont="1" applyFill="1" applyBorder="1" applyAlignment="1">
      <alignment vertical="center"/>
    </xf>
    <xf numFmtId="4" fontId="40" fillId="2" borderId="1" xfId="0" applyNumberFormat="1" applyFont="1" applyFill="1" applyBorder="1" applyAlignment="1">
      <alignment vertical="center"/>
    </xf>
    <xf numFmtId="4" fontId="40" fillId="2" borderId="1" xfId="11" applyNumberFormat="1" applyFont="1" applyFill="1" applyBorder="1" applyAlignment="1">
      <alignment vertical="center"/>
    </xf>
    <xf numFmtId="0" fontId="8" fillId="2" borderId="10" xfId="0" applyFont="1" applyFill="1" applyBorder="1" applyAlignment="1">
      <alignment horizontal="center" vertical="center" wrapText="1"/>
    </xf>
    <xf numFmtId="183" fontId="40" fillId="2" borderId="1" xfId="79" applyNumberFormat="1" applyFont="1" applyFill="1" applyBorder="1" applyAlignment="1">
      <alignment horizontal="left" vertical="center" wrapText="1"/>
    </xf>
    <xf numFmtId="1" fontId="17" fillId="2" borderId="1" xfId="79" applyNumberFormat="1" applyFont="1" applyFill="1" applyBorder="1" applyAlignment="1">
      <alignment horizontal="left" vertical="center" wrapText="1"/>
    </xf>
    <xf numFmtId="4" fontId="10" fillId="2" borderId="1" xfId="0" applyNumberFormat="1" applyFont="1" applyFill="1" applyBorder="1" applyAlignment="1">
      <alignment vertical="center"/>
    </xf>
    <xf numFmtId="4" fontId="44" fillId="2" borderId="1" xfId="0" applyNumberFormat="1" applyFont="1" applyFill="1" applyBorder="1" applyAlignment="1">
      <alignment vertical="center"/>
    </xf>
    <xf numFmtId="186" fontId="47" fillId="0" borderId="0" xfId="11" applyNumberFormat="1" applyFont="1" applyFill="1"/>
    <xf numFmtId="212" fontId="47" fillId="0" borderId="0" xfId="11" applyNumberFormat="1" applyFont="1" applyFill="1"/>
    <xf numFmtId="3" fontId="166" fillId="0" borderId="16" xfId="0" applyNumberFormat="1" applyFont="1" applyBorder="1"/>
    <xf numFmtId="3" fontId="166" fillId="0" borderId="3" xfId="0" applyNumberFormat="1" applyFont="1" applyBorder="1"/>
    <xf numFmtId="183" fontId="122" fillId="0" borderId="0" xfId="0" applyNumberFormat="1" applyFont="1"/>
    <xf numFmtId="183" fontId="48" fillId="0" borderId="0" xfId="0" applyNumberFormat="1" applyFont="1"/>
    <xf numFmtId="0" fontId="165" fillId="0" borderId="0" xfId="0" applyFont="1" applyAlignment="1">
      <alignment horizontal="center" vertical="center" wrapText="1"/>
    </xf>
    <xf numFmtId="0" fontId="160" fillId="0" borderId="0" xfId="0" applyFont="1" applyAlignment="1">
      <alignment horizontal="center" vertical="center" wrapText="1"/>
    </xf>
    <xf numFmtId="0" fontId="160" fillId="0" borderId="0" xfId="0" applyFont="1" applyAlignment="1">
      <alignment horizontal="left" vertical="center"/>
    </xf>
    <xf numFmtId="0" fontId="165" fillId="0" borderId="0" xfId="0" applyFont="1" applyAlignment="1">
      <alignment horizontal="center" vertical="center"/>
    </xf>
    <xf numFmtId="259" fontId="138" fillId="0" borderId="0" xfId="0" applyNumberFormat="1" applyFont="1"/>
    <xf numFmtId="186" fontId="77" fillId="0" borderId="0" xfId="11" applyNumberFormat="1" applyFont="1"/>
    <xf numFmtId="212" fontId="77" fillId="0" borderId="0" xfId="11" applyNumberFormat="1" applyFont="1"/>
    <xf numFmtId="0" fontId="160" fillId="0" borderId="1" xfId="0" applyFont="1" applyBorder="1" applyAlignment="1">
      <alignment horizontal="center" vertical="center" wrapText="1"/>
    </xf>
    <xf numFmtId="0" fontId="163" fillId="0" borderId="21" xfId="0" applyFont="1" applyBorder="1" applyAlignment="1">
      <alignment vertical="center"/>
    </xf>
    <xf numFmtId="3" fontId="164" fillId="0" borderId="21" xfId="0" applyNumberFormat="1" applyFont="1" applyBorder="1"/>
    <xf numFmtId="0" fontId="163" fillId="0" borderId="21" xfId="0" applyFont="1" applyBorder="1"/>
    <xf numFmtId="3" fontId="163" fillId="0" borderId="21" xfId="0" applyNumberFormat="1" applyFont="1" applyBorder="1"/>
    <xf numFmtId="0" fontId="161" fillId="0" borderId="0" xfId="0" applyFont="1" applyAlignment="1">
      <alignment horizontal="left" vertical="center"/>
    </xf>
    <xf numFmtId="0" fontId="161" fillId="0" borderId="0" xfId="0" applyFont="1"/>
    <xf numFmtId="3" fontId="160" fillId="0" borderId="0" xfId="0" applyNumberFormat="1" applyFont="1" applyAlignment="1">
      <alignment horizontal="right" vertical="center" wrapText="1"/>
    </xf>
    <xf numFmtId="0" fontId="164" fillId="0" borderId="21" xfId="0" applyFont="1" applyBorder="1"/>
    <xf numFmtId="3" fontId="164" fillId="0" borderId="0" xfId="0" applyNumberFormat="1" applyFont="1"/>
    <xf numFmtId="3" fontId="163" fillId="0" borderId="0" xfId="0" applyNumberFormat="1" applyFont="1"/>
    <xf numFmtId="3" fontId="161" fillId="0" borderId="0" xfId="0" applyNumberFormat="1" applyFont="1"/>
    <xf numFmtId="0" fontId="163" fillId="0" borderId="0" xfId="0" applyFont="1" applyAlignment="1">
      <alignment vertical="center"/>
    </xf>
    <xf numFmtId="0" fontId="163" fillId="0" borderId="0" xfId="0" applyFont="1" applyAlignment="1">
      <alignment vertical="center" wrapText="1"/>
    </xf>
    <xf numFmtId="3" fontId="163" fillId="0" borderId="0" xfId="0" applyNumberFormat="1" applyFont="1" applyAlignment="1">
      <alignment vertical="center"/>
    </xf>
    <xf numFmtId="0" fontId="164" fillId="0" borderId="21" xfId="0" applyFont="1" applyBorder="1" applyAlignment="1">
      <alignment vertical="center" wrapText="1"/>
    </xf>
    <xf numFmtId="0" fontId="164" fillId="0" borderId="1" xfId="0" applyFont="1" applyBorder="1" applyAlignment="1">
      <alignment horizontal="center"/>
    </xf>
    <xf numFmtId="0" fontId="164" fillId="0" borderId="1" xfId="0" applyFont="1" applyBorder="1" applyAlignment="1">
      <alignment horizontal="center" wrapText="1"/>
    </xf>
    <xf numFmtId="0" fontId="164" fillId="0" borderId="21" xfId="0" applyFont="1" applyBorder="1" applyAlignment="1">
      <alignment horizontal="center"/>
    </xf>
    <xf numFmtId="3" fontId="164" fillId="0" borderId="1" xfId="0" applyNumberFormat="1" applyFont="1" applyBorder="1" applyAlignment="1">
      <alignment horizontal="center"/>
    </xf>
    <xf numFmtId="0" fontId="164" fillId="0" borderId="1" xfId="0" applyFont="1" applyBorder="1" applyAlignment="1">
      <alignment horizontal="center" vertical="center" wrapText="1"/>
    </xf>
    <xf numFmtId="0" fontId="164" fillId="0" borderId="21" xfId="0" applyFont="1" applyBorder="1" applyAlignment="1">
      <alignment horizontal="center" vertical="center" wrapText="1"/>
    </xf>
    <xf numFmtId="3" fontId="164" fillId="0" borderId="1" xfId="0" applyNumberFormat="1" applyFont="1" applyBorder="1" applyAlignment="1">
      <alignment horizontal="center" vertical="center" wrapText="1"/>
    </xf>
    <xf numFmtId="0" fontId="163" fillId="0" borderId="21" xfId="0" applyFont="1" applyBorder="1" applyAlignment="1">
      <alignment vertical="center" wrapText="1"/>
    </xf>
    <xf numFmtId="3" fontId="164" fillId="0" borderId="21" xfId="0" applyNumberFormat="1" applyFont="1" applyBorder="1" applyAlignment="1">
      <alignment vertical="center"/>
    </xf>
    <xf numFmtId="3" fontId="163" fillId="0" borderId="21" xfId="0" applyNumberFormat="1" applyFont="1" applyBorder="1" applyAlignment="1">
      <alignment vertical="center"/>
    </xf>
    <xf numFmtId="0" fontId="164" fillId="0" borderId="1" xfId="0" applyFont="1" applyBorder="1" applyAlignment="1">
      <alignment horizontal="center" vertical="center"/>
    </xf>
    <xf numFmtId="0" fontId="163" fillId="0" borderId="1" xfId="0" applyFont="1" applyBorder="1" applyAlignment="1">
      <alignment horizontal="center" vertical="center"/>
    </xf>
    <xf numFmtId="0" fontId="163" fillId="0" borderId="0" xfId="0" applyFont="1" applyAlignment="1">
      <alignment horizontal="center" vertical="center"/>
    </xf>
    <xf numFmtId="170" fontId="17" fillId="0" borderId="0" xfId="164" applyNumberFormat="1" applyFont="1" applyAlignment="1">
      <alignment wrapText="1"/>
    </xf>
    <xf numFmtId="0" fontId="17" fillId="0" borderId="1" xfId="0" applyFont="1" applyBorder="1" applyAlignment="1">
      <alignment horizontal="center"/>
    </xf>
    <xf numFmtId="0" fontId="17" fillId="0" borderId="7" xfId="0" applyFont="1" applyBorder="1" applyAlignment="1">
      <alignment vertical="center"/>
    </xf>
    <xf numFmtId="183" fontId="47" fillId="0" borderId="0" xfId="0" applyNumberFormat="1" applyFont="1" applyAlignment="1">
      <alignment vertical="center"/>
    </xf>
    <xf numFmtId="183" fontId="47" fillId="0" borderId="0" xfId="10" applyNumberFormat="1" applyFont="1" applyAlignment="1">
      <alignment vertical="center"/>
    </xf>
    <xf numFmtId="183" fontId="47" fillId="0" borderId="0" xfId="10" applyNumberFormat="1" applyFont="1"/>
    <xf numFmtId="183" fontId="11" fillId="0" borderId="0" xfId="0" applyNumberFormat="1" applyFont="1" applyAlignment="1">
      <alignment horizontal="center" vertical="center" wrapText="1"/>
    </xf>
    <xf numFmtId="183" fontId="17" fillId="0" borderId="0" xfId="0" applyNumberFormat="1" applyFont="1"/>
    <xf numFmtId="183" fontId="47" fillId="0" borderId="0" xfId="11" applyNumberFormat="1" applyFont="1"/>
    <xf numFmtId="183" fontId="10" fillId="0" borderId="0" xfId="0" applyNumberFormat="1" applyFont="1"/>
    <xf numFmtId="183" fontId="10" fillId="0" borderId="0" xfId="0" applyNumberFormat="1" applyFont="1" applyAlignment="1">
      <alignment horizontal="center"/>
    </xf>
    <xf numFmtId="0" fontId="136" fillId="0" borderId="1" xfId="0" applyFont="1" applyBorder="1" applyAlignment="1">
      <alignment horizontal="center" vertical="center" wrapText="1"/>
    </xf>
    <xf numFmtId="183" fontId="136" fillId="0" borderId="1" xfId="11" applyNumberFormat="1" applyFont="1" applyBorder="1" applyAlignment="1">
      <alignment horizontal="right" vertical="center" wrapText="1"/>
    </xf>
    <xf numFmtId="183" fontId="136" fillId="0" borderId="1" xfId="0" applyNumberFormat="1" applyFont="1" applyBorder="1" applyAlignment="1">
      <alignment horizontal="right" vertical="center" wrapText="1"/>
    </xf>
    <xf numFmtId="166" fontId="151" fillId="0" borderId="9" xfId="11" applyFont="1" applyBorder="1" applyAlignment="1">
      <alignment horizontal="right" vertical="center" wrapText="1"/>
    </xf>
    <xf numFmtId="183" fontId="151" fillId="0" borderId="9" xfId="0" applyNumberFormat="1" applyFont="1" applyBorder="1" applyAlignment="1">
      <alignment horizontal="right" vertical="center" wrapText="1"/>
    </xf>
    <xf numFmtId="166" fontId="151" fillId="0" borderId="7" xfId="11" applyFont="1" applyBorder="1" applyAlignment="1">
      <alignment horizontal="right" vertical="center" wrapText="1"/>
    </xf>
    <xf numFmtId="183" fontId="151" fillId="0" borderId="7" xfId="11" applyNumberFormat="1" applyFont="1" applyBorder="1" applyAlignment="1">
      <alignment horizontal="right" vertical="center" wrapText="1"/>
    </xf>
    <xf numFmtId="183" fontId="151" fillId="0" borderId="7" xfId="0" applyNumberFormat="1" applyFont="1" applyBorder="1" applyAlignment="1">
      <alignment horizontal="right" vertical="center" wrapText="1"/>
    </xf>
    <xf numFmtId="183" fontId="151" fillId="0" borderId="7" xfId="11" applyNumberFormat="1" applyFont="1" applyFill="1" applyBorder="1" applyAlignment="1">
      <alignment horizontal="right" vertical="center" wrapText="1"/>
    </xf>
    <xf numFmtId="166" fontId="151" fillId="3" borderId="7" xfId="11" applyFont="1" applyFill="1" applyBorder="1" applyAlignment="1">
      <alignment horizontal="right" vertical="center" wrapText="1"/>
    </xf>
    <xf numFmtId="183" fontId="151" fillId="3" borderId="7" xfId="0" applyNumberFormat="1" applyFont="1" applyFill="1" applyBorder="1" applyAlignment="1">
      <alignment horizontal="right" vertical="center" wrapText="1"/>
    </xf>
    <xf numFmtId="183" fontId="151" fillId="0" borderId="15" xfId="0" applyNumberFormat="1" applyFont="1" applyBorder="1" applyAlignment="1">
      <alignment horizontal="right" vertical="center" wrapText="1"/>
    </xf>
    <xf numFmtId="0" fontId="11" fillId="0" borderId="13" xfId="0" applyFont="1" applyBorder="1" applyAlignment="1">
      <alignment vertical="center"/>
    </xf>
    <xf numFmtId="174" fontId="10" fillId="0" borderId="1" xfId="10" applyNumberFormat="1" applyFont="1" applyBorder="1" applyAlignment="1">
      <alignment horizontal="center" vertical="center" wrapText="1"/>
    </xf>
    <xf numFmtId="166" fontId="10" fillId="0" borderId="1" xfId="11" applyFont="1" applyBorder="1" applyAlignment="1">
      <alignment horizontal="center" vertical="center" wrapText="1"/>
    </xf>
    <xf numFmtId="49" fontId="17" fillId="0" borderId="1" xfId="11"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179" fontId="50" fillId="0" borderId="0" xfId="0" applyNumberFormat="1" applyFont="1"/>
    <xf numFmtId="0" fontId="50" fillId="0" borderId="9" xfId="0" applyFont="1" applyBorder="1" applyAlignment="1">
      <alignment vertical="center" wrapText="1"/>
    </xf>
    <xf numFmtId="0" fontId="77" fillId="0" borderId="7" xfId="0" applyFont="1" applyBorder="1" applyAlignment="1">
      <alignment vertical="center" wrapText="1"/>
    </xf>
    <xf numFmtId="0" fontId="55" fillId="0" borderId="7" xfId="0" applyFont="1" applyBorder="1" applyAlignment="1">
      <alignment vertical="center" wrapText="1"/>
    </xf>
    <xf numFmtId="220" fontId="47" fillId="0" borderId="0" xfId="0" applyNumberFormat="1" applyFont="1"/>
    <xf numFmtId="0" fontId="50" fillId="0" borderId="15" xfId="0" applyFont="1" applyBorder="1" applyAlignment="1">
      <alignment vertical="center" wrapText="1"/>
    </xf>
    <xf numFmtId="49" fontId="55" fillId="0" borderId="0" xfId="0" applyNumberFormat="1" applyFont="1" applyAlignment="1">
      <alignment vertical="center"/>
    </xf>
    <xf numFmtId="49" fontId="55" fillId="0" borderId="0" xfId="0" applyNumberFormat="1" applyFont="1" applyAlignment="1">
      <alignment horizontal="center" vertical="center"/>
    </xf>
    <xf numFmtId="3" fontId="138" fillId="0" borderId="7" xfId="0" applyNumberFormat="1" applyFont="1" applyBorder="1" applyAlignment="1">
      <alignment horizontal="right" vertical="center" wrapText="1"/>
    </xf>
    <xf numFmtId="183" fontId="138" fillId="0" borderId="7" xfId="0" applyNumberFormat="1" applyFont="1" applyBorder="1" applyAlignment="1">
      <alignment horizontal="right" vertical="center" wrapText="1"/>
    </xf>
    <xf numFmtId="183" fontId="138" fillId="0" borderId="7" xfId="11" applyNumberFormat="1" applyFont="1" applyBorder="1" applyAlignment="1">
      <alignment horizontal="right" vertical="center" wrapText="1"/>
    </xf>
    <xf numFmtId="183" fontId="138" fillId="0" borderId="7" xfId="10" applyNumberFormat="1" applyFont="1" applyBorder="1" applyAlignment="1">
      <alignment horizontal="right" vertical="center" wrapText="1"/>
    </xf>
    <xf numFmtId="3" fontId="139" fillId="0" borderId="7" xfId="0" applyNumberFormat="1" applyFont="1" applyBorder="1" applyAlignment="1">
      <alignment horizontal="right" vertical="center" wrapText="1"/>
    </xf>
    <xf numFmtId="183" fontId="139" fillId="0" borderId="7" xfId="0" applyNumberFormat="1" applyFont="1" applyBorder="1" applyAlignment="1">
      <alignment horizontal="right" vertical="center" wrapText="1"/>
    </xf>
    <xf numFmtId="183" fontId="139" fillId="0" borderId="7" xfId="11" applyNumberFormat="1" applyFont="1" applyBorder="1" applyAlignment="1">
      <alignment horizontal="right" vertical="center" wrapText="1"/>
    </xf>
    <xf numFmtId="183" fontId="139" fillId="0" borderId="7" xfId="10" applyNumberFormat="1" applyFont="1" applyBorder="1" applyAlignment="1">
      <alignment horizontal="right" vertical="center" wrapText="1"/>
    </xf>
    <xf numFmtId="165" fontId="138" fillId="0" borderId="7" xfId="10" applyFont="1" applyBorder="1" applyAlignment="1">
      <alignment horizontal="right" vertical="center" wrapText="1"/>
    </xf>
    <xf numFmtId="183" fontId="139" fillId="0" borderId="7" xfId="0" applyNumberFormat="1" applyFont="1" applyBorder="1"/>
    <xf numFmtId="183" fontId="138" fillId="0" borderId="7" xfId="10" applyNumberFormat="1" applyFont="1" applyFill="1" applyBorder="1" applyAlignment="1">
      <alignment horizontal="right" vertical="center" wrapText="1"/>
    </xf>
    <xf numFmtId="183" fontId="139" fillId="3" borderId="7" xfId="11" applyNumberFormat="1" applyFont="1" applyFill="1" applyBorder="1"/>
    <xf numFmtId="183" fontId="138" fillId="0" borderId="7" xfId="11" applyNumberFormat="1" applyFont="1" applyFill="1" applyBorder="1" applyAlignment="1">
      <alignment horizontal="right" vertical="center" wrapText="1"/>
    </xf>
    <xf numFmtId="166" fontId="138" fillId="0" borderId="7" xfId="11" applyFont="1" applyBorder="1" applyAlignment="1">
      <alignment horizontal="right" vertical="center" wrapText="1"/>
    </xf>
    <xf numFmtId="167" fontId="138" fillId="0" borderId="7" xfId="0" applyNumberFormat="1" applyFont="1" applyBorder="1" applyAlignment="1">
      <alignment horizontal="right" vertical="center" wrapText="1"/>
    </xf>
    <xf numFmtId="183" fontId="138" fillId="0" borderId="9" xfId="0" applyNumberFormat="1" applyFont="1" applyBorder="1" applyAlignment="1">
      <alignment horizontal="right" vertical="center" wrapText="1"/>
    </xf>
    <xf numFmtId="183" fontId="138" fillId="0" borderId="9" xfId="10" applyNumberFormat="1" applyFont="1" applyBorder="1" applyAlignment="1">
      <alignment horizontal="right" vertical="center" wrapText="1"/>
    </xf>
    <xf numFmtId="183" fontId="138" fillId="3" borderId="7" xfId="10" applyNumberFormat="1" applyFont="1" applyFill="1" applyBorder="1" applyAlignment="1">
      <alignment horizontal="right" vertical="center" wrapText="1"/>
    </xf>
    <xf numFmtId="183" fontId="139" fillId="3" borderId="7" xfId="10" applyNumberFormat="1" applyFont="1" applyFill="1" applyBorder="1" applyAlignment="1">
      <alignment horizontal="right" vertical="center" wrapText="1"/>
    </xf>
    <xf numFmtId="183" fontId="139" fillId="0" borderId="7" xfId="10" applyNumberFormat="1" applyFont="1" applyFill="1" applyBorder="1" applyAlignment="1">
      <alignment horizontal="right" vertical="center" wrapText="1"/>
    </xf>
    <xf numFmtId="166" fontId="138" fillId="0" borderId="15" xfId="11" applyFont="1" applyBorder="1" applyAlignment="1">
      <alignment horizontal="right" vertical="center" wrapText="1"/>
    </xf>
    <xf numFmtId="183" fontId="138" fillId="0" borderId="15" xfId="10" applyNumberFormat="1" applyFont="1" applyBorder="1" applyAlignment="1">
      <alignment horizontal="right" vertical="center" wrapText="1"/>
    </xf>
    <xf numFmtId="183" fontId="138" fillId="0" borderId="1" xfId="0" applyNumberFormat="1" applyFont="1" applyBorder="1" applyAlignment="1">
      <alignment horizontal="right" vertical="center" wrapText="1"/>
    </xf>
    <xf numFmtId="183" fontId="138" fillId="0" borderId="1" xfId="10" applyNumberFormat="1" applyFont="1" applyBorder="1" applyAlignment="1">
      <alignment horizontal="right" vertical="center" wrapText="1"/>
    </xf>
    <xf numFmtId="0" fontId="136" fillId="0" borderId="21" xfId="0" applyFont="1" applyBorder="1" applyAlignment="1">
      <alignment horizontal="center" vertical="center" wrapText="1"/>
    </xf>
    <xf numFmtId="183" fontId="136" fillId="0" borderId="21" xfId="0" applyNumberFormat="1" applyFont="1" applyBorder="1" applyAlignment="1">
      <alignment horizontal="right" vertical="center" wrapText="1"/>
    </xf>
    <xf numFmtId="183" fontId="136" fillId="0" borderId="21" xfId="11" applyNumberFormat="1" applyFont="1" applyBorder="1" applyAlignment="1">
      <alignment horizontal="right" vertical="center" wrapText="1"/>
    </xf>
    <xf numFmtId="171" fontId="136" fillId="0" borderId="21" xfId="0" applyNumberFormat="1" applyFont="1" applyBorder="1" applyAlignment="1">
      <alignment horizontal="right" vertical="center" wrapText="1"/>
    </xf>
    <xf numFmtId="0" fontId="136" fillId="0" borderId="21" xfId="0" applyFont="1" applyBorder="1" applyAlignment="1">
      <alignment horizontal="justify" vertical="center" wrapText="1"/>
    </xf>
    <xf numFmtId="0" fontId="179" fillId="0" borderId="45" xfId="0" applyFont="1" applyBorder="1" applyAlignment="1">
      <alignment horizontal="center" vertical="center" wrapText="1"/>
    </xf>
    <xf numFmtId="0" fontId="179" fillId="0" borderId="45" xfId="0" applyFont="1" applyBorder="1" applyAlignment="1">
      <alignment vertical="center" wrapText="1"/>
    </xf>
    <xf numFmtId="183" fontId="136" fillId="0" borderId="45" xfId="0" applyNumberFormat="1" applyFont="1" applyBorder="1" applyAlignment="1">
      <alignment horizontal="right" vertical="center" wrapText="1"/>
    </xf>
    <xf numFmtId="0" fontId="179" fillId="0" borderId="7" xfId="0" applyFont="1" applyBorder="1" applyAlignment="1">
      <alignment horizontal="center" vertical="center" wrapText="1"/>
    </xf>
    <xf numFmtId="0" fontId="179" fillId="0" borderId="7" xfId="0" applyFont="1" applyBorder="1" applyAlignment="1">
      <alignment vertical="center" wrapText="1"/>
    </xf>
    <xf numFmtId="183" fontId="136" fillId="0" borderId="7" xfId="0" applyNumberFormat="1" applyFont="1" applyBorder="1" applyAlignment="1">
      <alignment horizontal="right" vertical="center" wrapText="1"/>
    </xf>
    <xf numFmtId="1" fontId="136" fillId="0" borderId="7" xfId="0" applyNumberFormat="1" applyFont="1" applyBorder="1" applyAlignment="1">
      <alignment horizontal="right" vertical="center" wrapText="1"/>
    </xf>
    <xf numFmtId="0" fontId="180" fillId="0" borderId="7" xfId="0" applyFont="1" applyBorder="1" applyAlignment="1">
      <alignment horizontal="center" vertical="center" wrapText="1"/>
    </xf>
    <xf numFmtId="0" fontId="180" fillId="0" borderId="7" xfId="0" applyFont="1" applyBorder="1" applyAlignment="1">
      <alignment vertical="center" wrapText="1"/>
    </xf>
    <xf numFmtId="183" fontId="136" fillId="0" borderId="7" xfId="11" applyNumberFormat="1" applyFont="1" applyBorder="1" applyAlignment="1">
      <alignment horizontal="right" vertical="center" wrapText="1"/>
    </xf>
    <xf numFmtId="183" fontId="136" fillId="3" borderId="7" xfId="10" applyNumberFormat="1" applyFont="1" applyFill="1" applyBorder="1" applyAlignment="1">
      <alignment horizontal="right" vertical="center" wrapText="1"/>
    </xf>
    <xf numFmtId="183" fontId="151" fillId="3" borderId="7" xfId="10" applyNumberFormat="1" applyFont="1" applyFill="1" applyBorder="1" applyAlignment="1">
      <alignment horizontal="right" vertical="center" wrapText="1"/>
    </xf>
    <xf numFmtId="0" fontId="181" fillId="0" borderId="7" xfId="0" applyFont="1" applyBorder="1" applyAlignment="1">
      <alignment horizontal="center" vertical="center" wrapText="1"/>
    </xf>
    <xf numFmtId="0" fontId="181" fillId="0" borderId="7" xfId="0" applyFont="1" applyBorder="1" applyAlignment="1">
      <alignment vertical="center" wrapText="1"/>
    </xf>
    <xf numFmtId="168" fontId="182" fillId="0" borderId="7" xfId="163" applyNumberFormat="1" applyFont="1" applyFill="1" applyBorder="1" applyAlignment="1">
      <alignment vertical="center" wrapText="1"/>
    </xf>
    <xf numFmtId="183" fontId="182" fillId="0" borderId="7" xfId="0" applyNumberFormat="1" applyFont="1" applyBorder="1" applyAlignment="1">
      <alignment horizontal="right" vertical="center" wrapText="1"/>
    </xf>
    <xf numFmtId="166" fontId="182" fillId="0" borderId="7" xfId="11" applyFont="1" applyBorder="1" applyAlignment="1">
      <alignment horizontal="right" vertical="center" wrapText="1"/>
    </xf>
    <xf numFmtId="168" fontId="151" fillId="0" borderId="7" xfId="163" applyNumberFormat="1" applyFont="1" applyFill="1" applyBorder="1" applyAlignment="1">
      <alignment vertical="center" wrapText="1"/>
    </xf>
    <xf numFmtId="1" fontId="151" fillId="0" borderId="7" xfId="0" applyNumberFormat="1" applyFont="1" applyBorder="1" applyAlignment="1">
      <alignment horizontal="right" vertical="center" wrapText="1"/>
    </xf>
    <xf numFmtId="183" fontId="151" fillId="0" borderId="7" xfId="10" applyNumberFormat="1" applyFont="1" applyFill="1" applyBorder="1" applyAlignment="1">
      <alignment horizontal="right" vertical="center" wrapText="1"/>
    </xf>
    <xf numFmtId="0" fontId="182" fillId="0" borderId="7" xfId="0" applyFont="1" applyBorder="1" applyAlignment="1">
      <alignment horizontal="center" vertical="center" wrapText="1"/>
    </xf>
    <xf numFmtId="0" fontId="182" fillId="0" borderId="7" xfId="0" applyFont="1" applyBorder="1" applyAlignment="1">
      <alignment horizontal="justify" vertical="center" wrapText="1"/>
    </xf>
    <xf numFmtId="0" fontId="151" fillId="0" borderId="7" xfId="0" applyFont="1" applyBorder="1" applyAlignment="1">
      <alignment horizontal="center" vertical="center" wrapText="1"/>
    </xf>
    <xf numFmtId="259" fontId="151" fillId="3" borderId="7" xfId="11" applyNumberFormat="1" applyFont="1" applyFill="1" applyBorder="1" applyAlignment="1">
      <alignment horizontal="right" vertical="center" wrapText="1"/>
    </xf>
    <xf numFmtId="259" fontId="151" fillId="0" borderId="7" xfId="11" applyNumberFormat="1" applyFont="1" applyBorder="1" applyAlignment="1">
      <alignment horizontal="right" vertical="center" wrapText="1"/>
    </xf>
    <xf numFmtId="0" fontId="151" fillId="0" borderId="8" xfId="0" applyFont="1" applyBorder="1" applyAlignment="1">
      <alignment horizontal="center" vertical="center" wrapText="1"/>
    </xf>
    <xf numFmtId="0" fontId="151" fillId="0" borderId="8" xfId="0" applyFont="1" applyBorder="1" applyAlignment="1">
      <alignment horizontal="justify" vertical="center" wrapText="1"/>
    </xf>
    <xf numFmtId="183" fontId="151" fillId="0" borderId="8" xfId="0" applyNumberFormat="1" applyFont="1" applyBorder="1" applyAlignment="1">
      <alignment horizontal="right" vertical="center" wrapText="1"/>
    </xf>
    <xf numFmtId="166" fontId="151" fillId="0" borderId="8" xfId="11" applyFont="1" applyBorder="1" applyAlignment="1">
      <alignment horizontal="right" vertical="center" wrapText="1"/>
    </xf>
    <xf numFmtId="166" fontId="151" fillId="3" borderId="8" xfId="11" applyFont="1" applyFill="1" applyBorder="1" applyAlignment="1">
      <alignment horizontal="right" vertical="center" wrapText="1"/>
    </xf>
    <xf numFmtId="1" fontId="151" fillId="0" borderId="8" xfId="0" applyNumberFormat="1" applyFont="1" applyBorder="1" applyAlignment="1">
      <alignment horizontal="right" vertical="center" wrapText="1"/>
    </xf>
    <xf numFmtId="0" fontId="136" fillId="0" borderId="9" xfId="0" applyFont="1" applyBorder="1" applyAlignment="1">
      <alignment horizontal="center" vertical="center" wrapText="1"/>
    </xf>
    <xf numFmtId="0" fontId="136" fillId="0" borderId="9" xfId="0" applyFont="1" applyBorder="1" applyAlignment="1">
      <alignment horizontal="justify" vertical="center" wrapText="1"/>
    </xf>
    <xf numFmtId="183" fontId="136" fillId="0" borderId="9" xfId="0" applyNumberFormat="1" applyFont="1" applyBorder="1" applyAlignment="1">
      <alignment horizontal="right" vertical="center" wrapText="1"/>
    </xf>
    <xf numFmtId="166" fontId="136" fillId="0" borderId="9" xfId="11" applyFont="1" applyBorder="1" applyAlignment="1">
      <alignment horizontal="right" vertical="center" wrapText="1"/>
    </xf>
    <xf numFmtId="166" fontId="136" fillId="3" borderId="9" xfId="11" applyFont="1" applyFill="1" applyBorder="1" applyAlignment="1">
      <alignment horizontal="right" vertical="center" wrapText="1"/>
    </xf>
    <xf numFmtId="1" fontId="151" fillId="0" borderId="9" xfId="0" applyNumberFormat="1" applyFont="1" applyBorder="1" applyAlignment="1">
      <alignment horizontal="right" vertical="center" wrapText="1"/>
    </xf>
    <xf numFmtId="0" fontId="136" fillId="0" borderId="15" xfId="0" applyFont="1" applyBorder="1" applyAlignment="1">
      <alignment horizontal="center" vertical="center" wrapText="1"/>
    </xf>
    <xf numFmtId="0" fontId="136" fillId="0" borderId="15" xfId="0" applyFont="1" applyBorder="1" applyAlignment="1">
      <alignment horizontal="justify" vertical="center" wrapText="1"/>
    </xf>
    <xf numFmtId="183" fontId="136" fillId="0" borderId="15" xfId="0" applyNumberFormat="1" applyFont="1" applyBorder="1" applyAlignment="1">
      <alignment horizontal="right" vertical="center" wrapText="1"/>
    </xf>
    <xf numFmtId="1" fontId="151" fillId="0" borderId="15" xfId="0" applyNumberFormat="1" applyFont="1" applyBorder="1" applyAlignment="1">
      <alignment horizontal="right" vertical="center" wrapText="1"/>
    </xf>
    <xf numFmtId="167" fontId="136" fillId="0" borderId="21" xfId="0" applyNumberFormat="1" applyFont="1" applyBorder="1" applyAlignment="1">
      <alignment horizontal="right" vertical="center" wrapText="1"/>
    </xf>
    <xf numFmtId="9" fontId="136" fillId="0" borderId="21" xfId="65" applyFont="1" applyBorder="1" applyAlignment="1">
      <alignment horizontal="right" vertical="center" wrapText="1"/>
    </xf>
    <xf numFmtId="0" fontId="151" fillId="0" borderId="45" xfId="0" applyFont="1" applyBorder="1" applyAlignment="1">
      <alignment horizontal="center" vertical="center" wrapText="1"/>
    </xf>
    <xf numFmtId="0" fontId="151" fillId="0" borderId="45" xfId="0" applyFont="1" applyBorder="1" applyAlignment="1">
      <alignment horizontal="justify" vertical="center" wrapText="1"/>
    </xf>
    <xf numFmtId="183" fontId="151" fillId="0" borderId="45" xfId="0" applyNumberFormat="1" applyFont="1" applyBorder="1" applyAlignment="1">
      <alignment horizontal="right" vertical="center" wrapText="1"/>
    </xf>
    <xf numFmtId="183" fontId="151" fillId="3" borderId="45" xfId="10" applyNumberFormat="1" applyFont="1" applyFill="1" applyBorder="1" applyAlignment="1">
      <alignment horizontal="right" vertical="center" wrapText="1"/>
    </xf>
    <xf numFmtId="1" fontId="151" fillId="0" borderId="45" xfId="0" applyNumberFormat="1" applyFont="1" applyBorder="1" applyAlignment="1">
      <alignment horizontal="right" vertical="center" wrapText="1"/>
    </xf>
    <xf numFmtId="9" fontId="151" fillId="0" borderId="45" xfId="65" applyFont="1" applyBorder="1" applyAlignment="1">
      <alignment horizontal="right" vertical="center" wrapText="1"/>
    </xf>
    <xf numFmtId="9" fontId="151" fillId="0" borderId="7" xfId="65" applyFont="1" applyBorder="1" applyAlignment="1">
      <alignment horizontal="right" vertical="center" wrapText="1"/>
    </xf>
    <xf numFmtId="0" fontId="136" fillId="0" borderId="7" xfId="0" applyFont="1" applyBorder="1" applyAlignment="1">
      <alignment horizontal="center" vertical="center" wrapText="1"/>
    </xf>
    <xf numFmtId="0" fontId="136" fillId="0" borderId="7" xfId="0" applyFont="1" applyBorder="1" applyAlignment="1">
      <alignment horizontal="justify" vertical="center" wrapText="1"/>
    </xf>
    <xf numFmtId="0" fontId="136" fillId="0" borderId="8" xfId="0" applyFont="1" applyBorder="1" applyAlignment="1">
      <alignment horizontal="center" vertical="center" wrapText="1"/>
    </xf>
    <xf numFmtId="0" fontId="136" fillId="0" borderId="8" xfId="0" applyFont="1" applyBorder="1" applyAlignment="1">
      <alignment horizontal="justify" vertical="center" wrapText="1"/>
    </xf>
    <xf numFmtId="183" fontId="136" fillId="0" borderId="8" xfId="0" applyNumberFormat="1" applyFont="1" applyBorder="1" applyAlignment="1">
      <alignment horizontal="right" vertical="center" wrapText="1"/>
    </xf>
    <xf numFmtId="183" fontId="136" fillId="0" borderId="8" xfId="10" applyNumberFormat="1" applyFont="1" applyFill="1" applyBorder="1" applyAlignment="1">
      <alignment horizontal="right" vertical="center" wrapText="1"/>
    </xf>
    <xf numFmtId="0" fontId="136" fillId="0" borderId="1" xfId="0" applyFont="1" applyBorder="1" applyAlignment="1">
      <alignment horizontal="justify" vertical="center" wrapText="1"/>
    </xf>
    <xf numFmtId="1" fontId="151" fillId="0" borderId="1" xfId="0" applyNumberFormat="1" applyFont="1" applyBorder="1" applyAlignment="1">
      <alignment horizontal="right" vertical="center" wrapText="1"/>
    </xf>
    <xf numFmtId="1" fontId="136" fillId="0" borderId="1" xfId="0" applyNumberFormat="1" applyFont="1" applyBorder="1" applyAlignment="1">
      <alignment horizontal="right" vertical="center" wrapText="1"/>
    </xf>
    <xf numFmtId="0" fontId="151" fillId="0" borderId="9" xfId="0" applyFont="1" applyBorder="1" applyAlignment="1">
      <alignment horizontal="center" vertical="center" wrapText="1"/>
    </xf>
    <xf numFmtId="0" fontId="151" fillId="0" borderId="9" xfId="0" applyFont="1" applyBorder="1" applyAlignment="1">
      <alignment horizontal="justify" vertical="center" wrapText="1"/>
    </xf>
    <xf numFmtId="183" fontId="151" fillId="3" borderId="9" xfId="10" applyNumberFormat="1" applyFont="1" applyFill="1" applyBorder="1" applyAlignment="1">
      <alignment horizontal="right" vertical="center" wrapText="1"/>
    </xf>
    <xf numFmtId="0" fontId="151" fillId="0" borderId="15" xfId="0" applyFont="1" applyBorder="1" applyAlignment="1">
      <alignment horizontal="center" vertical="center" wrapText="1"/>
    </xf>
    <xf numFmtId="0" fontId="183" fillId="0" borderId="15" xfId="0" applyFont="1" applyBorder="1" applyAlignment="1">
      <alignment horizontal="justify" vertical="center" wrapText="1"/>
    </xf>
    <xf numFmtId="183" fontId="151" fillId="3" borderId="15" xfId="10" applyNumberFormat="1" applyFont="1" applyFill="1" applyBorder="1" applyAlignment="1">
      <alignment horizontal="right" vertical="center" wrapText="1"/>
    </xf>
    <xf numFmtId="0" fontId="136" fillId="0" borderId="21" xfId="0" applyFont="1" applyBorder="1" applyAlignment="1">
      <alignment vertical="center" wrapText="1"/>
    </xf>
    <xf numFmtId="183" fontId="151" fillId="0" borderId="21" xfId="0" applyNumberFormat="1" applyFont="1" applyBorder="1" applyAlignment="1">
      <alignment horizontal="right" vertical="center" wrapText="1"/>
    </xf>
    <xf numFmtId="183" fontId="136" fillId="0" borderId="21" xfId="10" applyNumberFormat="1" applyFont="1" applyFill="1" applyBorder="1" applyAlignment="1">
      <alignment horizontal="right" vertical="center" wrapText="1"/>
    </xf>
    <xf numFmtId="1" fontId="151" fillId="0" borderId="21" xfId="0" applyNumberFormat="1" applyFont="1" applyBorder="1" applyAlignment="1">
      <alignment horizontal="right" vertical="center" wrapText="1"/>
    </xf>
    <xf numFmtId="183" fontId="50" fillId="0" borderId="1" xfId="0" applyNumberFormat="1" applyFont="1" applyBorder="1" applyAlignment="1">
      <alignment horizontal="center" vertical="center" wrapText="1"/>
    </xf>
    <xf numFmtId="0" fontId="10" fillId="34" borderId="1" xfId="0" applyFont="1" applyFill="1" applyBorder="1" applyAlignment="1">
      <alignment horizontal="left" vertical="center" wrapText="1"/>
    </xf>
    <xf numFmtId="0" fontId="17" fillId="34" borderId="1" xfId="0" applyFont="1" applyFill="1" applyBorder="1" applyAlignment="1">
      <alignment horizontal="center" vertical="center"/>
    </xf>
    <xf numFmtId="174" fontId="17" fillId="34" borderId="1" xfId="10" applyNumberFormat="1" applyFont="1" applyFill="1" applyBorder="1" applyAlignment="1">
      <alignment vertical="center"/>
    </xf>
    <xf numFmtId="0" fontId="17" fillId="34" borderId="1" xfId="0" applyFont="1" applyFill="1" applyBorder="1" applyAlignment="1">
      <alignment vertical="center"/>
    </xf>
    <xf numFmtId="167" fontId="17" fillId="34" borderId="1" xfId="0" applyNumberFormat="1" applyFont="1" applyFill="1" applyBorder="1" applyAlignment="1">
      <alignment vertical="center"/>
    </xf>
    <xf numFmtId="4" fontId="10" fillId="34" borderId="1" xfId="0" applyNumberFormat="1" applyFont="1" applyFill="1" applyBorder="1" applyAlignment="1">
      <alignment vertical="center"/>
    </xf>
    <xf numFmtId="166" fontId="10" fillId="34" borderId="16" xfId="11" applyFont="1" applyFill="1" applyBorder="1" applyAlignment="1"/>
    <xf numFmtId="176" fontId="10" fillId="34" borderId="0" xfId="11" applyNumberFormat="1" applyFont="1" applyFill="1" applyAlignment="1"/>
    <xf numFmtId="0" fontId="10" fillId="34" borderId="0" xfId="0" applyFont="1" applyFill="1"/>
    <xf numFmtId="0" fontId="10" fillId="34" borderId="0" xfId="0" applyFont="1" applyFill="1" applyAlignment="1">
      <alignment wrapText="1"/>
    </xf>
    <xf numFmtId="0" fontId="17" fillId="34" borderId="10" xfId="0" applyFont="1" applyFill="1" applyBorder="1" applyAlignment="1">
      <alignment horizontal="center" vertical="center"/>
    </xf>
    <xf numFmtId="0" fontId="17" fillId="34" borderId="1" xfId="0" applyFont="1" applyFill="1" applyBorder="1" applyAlignment="1">
      <alignment horizontal="left" vertical="center" wrapText="1"/>
    </xf>
    <xf numFmtId="4" fontId="17" fillId="34" borderId="1" xfId="0" applyNumberFormat="1" applyFont="1" applyFill="1" applyBorder="1" applyAlignment="1">
      <alignment vertical="center"/>
    </xf>
    <xf numFmtId="4" fontId="40" fillId="34" borderId="1" xfId="0" applyNumberFormat="1" applyFont="1" applyFill="1" applyBorder="1" applyAlignment="1">
      <alignment vertical="center"/>
    </xf>
    <xf numFmtId="166" fontId="10" fillId="34" borderId="0" xfId="11" applyFont="1" applyFill="1" applyBorder="1" applyAlignment="1"/>
    <xf numFmtId="4" fontId="17" fillId="0" borderId="0" xfId="0" applyNumberFormat="1" applyFont="1"/>
    <xf numFmtId="0" fontId="136" fillId="0" borderId="1" xfId="0" applyFont="1" applyBorder="1" applyAlignment="1">
      <alignment vertical="center" wrapText="1"/>
    </xf>
    <xf numFmtId="3" fontId="136" fillId="0" borderId="1" xfId="0" applyNumberFormat="1" applyFont="1" applyBorder="1" applyAlignment="1">
      <alignment horizontal="right" vertical="center" wrapText="1"/>
    </xf>
    <xf numFmtId="174" fontId="136" fillId="0" borderId="1" xfId="10" applyNumberFormat="1" applyFont="1" applyBorder="1" applyAlignment="1">
      <alignment horizontal="right" vertical="center" wrapText="1"/>
    </xf>
    <xf numFmtId="0" fontId="136" fillId="0" borderId="0" xfId="0" applyFont="1"/>
    <xf numFmtId="166" fontId="136" fillId="0" borderId="0" xfId="11" applyFont="1"/>
    <xf numFmtId="9" fontId="136" fillId="0" borderId="0" xfId="65" applyFont="1"/>
    <xf numFmtId="176" fontId="136" fillId="0" borderId="0" xfId="11" applyNumberFormat="1" applyFont="1"/>
    <xf numFmtId="167" fontId="136" fillId="0" borderId="0" xfId="0" applyNumberFormat="1" applyFont="1"/>
    <xf numFmtId="0" fontId="136" fillId="0" borderId="6" xfId="0" applyFont="1" applyBorder="1" applyAlignment="1">
      <alignment horizontal="center" vertical="center" wrapText="1"/>
    </xf>
    <xf numFmtId="0" fontId="136" fillId="0" borderId="6" xfId="0" applyFont="1" applyBorder="1" applyAlignment="1">
      <alignment vertical="center" wrapText="1"/>
    </xf>
    <xf numFmtId="3" fontId="136" fillId="0" borderId="6" xfId="0" applyNumberFormat="1" applyFont="1" applyBorder="1" applyAlignment="1">
      <alignment horizontal="right" vertical="center" wrapText="1"/>
    </xf>
    <xf numFmtId="174" fontId="136" fillId="0" borderId="6" xfId="10" applyNumberFormat="1" applyFont="1" applyBorder="1" applyAlignment="1">
      <alignment horizontal="right" vertical="center" wrapText="1"/>
    </xf>
    <xf numFmtId="167" fontId="151" fillId="0" borderId="0" xfId="0" applyNumberFormat="1" applyFont="1"/>
    <xf numFmtId="166" fontId="151" fillId="0" borderId="0" xfId="11" applyFont="1"/>
    <xf numFmtId="176" fontId="151" fillId="0" borderId="0" xfId="11" applyNumberFormat="1" applyFont="1"/>
    <xf numFmtId="0" fontId="136" fillId="0" borderId="7" xfId="0" applyFont="1" applyBorder="1" applyAlignment="1">
      <alignment vertical="center" wrapText="1"/>
    </xf>
    <xf numFmtId="3" fontId="136" fillId="0" borderId="7" xfId="0" applyNumberFormat="1" applyFont="1" applyBorder="1" applyAlignment="1">
      <alignment horizontal="right" vertical="center" wrapText="1"/>
    </xf>
    <xf numFmtId="166" fontId="136" fillId="0" borderId="7" xfId="11" applyFont="1" applyBorder="1" applyAlignment="1">
      <alignment horizontal="right" vertical="center" wrapText="1"/>
    </xf>
    <xf numFmtId="174" fontId="136" fillId="0" borderId="7" xfId="10" applyNumberFormat="1" applyFont="1" applyBorder="1" applyAlignment="1">
      <alignment horizontal="right" vertical="center" wrapText="1"/>
    </xf>
    <xf numFmtId="166" fontId="136" fillId="26" borderId="0" xfId="11" applyFont="1" applyFill="1"/>
    <xf numFmtId="9" fontId="136" fillId="26" borderId="0" xfId="65" applyFont="1" applyFill="1"/>
    <xf numFmtId="208" fontId="151" fillId="0" borderId="0" xfId="11" applyNumberFormat="1" applyFont="1"/>
    <xf numFmtId="3" fontId="154" fillId="0" borderId="7" xfId="0" applyNumberFormat="1" applyFont="1" applyBorder="1" applyAlignment="1">
      <alignment horizontal="right" vertical="center" wrapText="1"/>
    </xf>
    <xf numFmtId="3" fontId="151" fillId="0" borderId="7" xfId="0" applyNumberFormat="1" applyFont="1" applyBorder="1" applyAlignment="1">
      <alignment horizontal="right" vertical="center" wrapText="1"/>
    </xf>
    <xf numFmtId="174" fontId="151" fillId="0" borderId="7" xfId="10" applyNumberFormat="1" applyFont="1" applyBorder="1" applyAlignment="1">
      <alignment horizontal="right" vertical="center" wrapText="1"/>
    </xf>
    <xf numFmtId="9" fontId="151" fillId="0" borderId="0" xfId="0" applyNumberFormat="1" applyFont="1"/>
    <xf numFmtId="184" fontId="151" fillId="0" borderId="0" xfId="11" applyNumberFormat="1" applyFont="1"/>
    <xf numFmtId="3" fontId="134" fillId="0" borderId="7" xfId="0" applyNumberFormat="1" applyFont="1" applyBorder="1" applyAlignment="1">
      <alignment horizontal="right" vertical="center" wrapText="1"/>
    </xf>
    <xf numFmtId="10" fontId="151" fillId="0" borderId="0" xfId="65" applyNumberFormat="1" applyFont="1"/>
    <xf numFmtId="190" fontId="151" fillId="0" borderId="0" xfId="11" applyNumberFormat="1" applyFont="1"/>
    <xf numFmtId="0" fontId="151" fillId="0" borderId="0" xfId="0" quotePrefix="1" applyFont="1" applyAlignment="1">
      <alignment horizontal="center"/>
    </xf>
    <xf numFmtId="164" fontId="151" fillId="0" borderId="0" xfId="0" applyNumberFormat="1" applyFont="1"/>
    <xf numFmtId="165" fontId="136" fillId="0" borderId="7" xfId="10" applyFont="1" applyBorder="1" applyAlignment="1">
      <alignment horizontal="right" vertical="center" wrapText="1"/>
    </xf>
    <xf numFmtId="9" fontId="151" fillId="0" borderId="0" xfId="65" applyFont="1"/>
    <xf numFmtId="0" fontId="136" fillId="0" borderId="8" xfId="0" applyFont="1" applyBorder="1" applyAlignment="1">
      <alignment vertical="center" wrapText="1"/>
    </xf>
    <xf numFmtId="3" fontId="134" fillId="0" borderId="8" xfId="0" applyNumberFormat="1" applyFont="1" applyBorder="1" applyAlignment="1">
      <alignment horizontal="right" vertical="center" wrapText="1"/>
    </xf>
    <xf numFmtId="3" fontId="136" fillId="0" borderId="8" xfId="0" applyNumberFormat="1" applyFont="1" applyBorder="1" applyAlignment="1">
      <alignment horizontal="right" vertical="center" wrapText="1"/>
    </xf>
    <xf numFmtId="9" fontId="151" fillId="0" borderId="8" xfId="65" applyFont="1" applyBorder="1" applyAlignment="1">
      <alignment horizontal="right" vertical="center" wrapText="1"/>
    </xf>
    <xf numFmtId="165" fontId="136" fillId="0" borderId="8" xfId="10" applyFont="1" applyBorder="1" applyAlignment="1">
      <alignment horizontal="right" vertical="center" wrapText="1"/>
    </xf>
    <xf numFmtId="165" fontId="136" fillId="0" borderId="1" xfId="10" applyFont="1" applyBorder="1" applyAlignment="1">
      <alignment horizontal="right" vertical="center" wrapText="1"/>
    </xf>
    <xf numFmtId="183" fontId="136" fillId="0" borderId="6" xfId="0" applyNumberFormat="1" applyFont="1" applyBorder="1" applyAlignment="1">
      <alignment horizontal="right" vertical="center" wrapText="1"/>
    </xf>
    <xf numFmtId="183" fontId="10" fillId="0" borderId="45" xfId="0" applyNumberFormat="1" applyFont="1" applyBorder="1" applyAlignment="1">
      <alignment horizontal="right" vertical="center" wrapText="1"/>
    </xf>
    <xf numFmtId="183" fontId="10" fillId="0" borderId="7" xfId="0" applyNumberFormat="1" applyFont="1" applyBorder="1" applyAlignment="1">
      <alignment horizontal="right" vertical="center" wrapText="1"/>
    </xf>
    <xf numFmtId="183" fontId="44" fillId="0" borderId="7" xfId="0" applyNumberFormat="1" applyFont="1" applyBorder="1" applyAlignment="1">
      <alignment horizontal="right" vertical="center" wrapText="1"/>
    </xf>
    <xf numFmtId="183" fontId="102" fillId="0" borderId="7" xfId="0" applyNumberFormat="1" applyFont="1" applyBorder="1" applyAlignment="1">
      <alignment horizontal="right" vertical="center" wrapText="1"/>
    </xf>
    <xf numFmtId="183" fontId="11" fillId="0" borderId="7" xfId="0" applyNumberFormat="1" applyFont="1" applyBorder="1" applyAlignment="1">
      <alignment horizontal="right" vertical="center" wrapText="1"/>
    </xf>
    <xf numFmtId="183" fontId="10" fillId="0" borderId="8" xfId="0" applyNumberFormat="1" applyFont="1" applyBorder="1" applyAlignment="1">
      <alignment horizontal="right" vertical="center" wrapText="1"/>
    </xf>
    <xf numFmtId="183" fontId="10" fillId="3" borderId="8" xfId="0" applyNumberFormat="1" applyFont="1" applyFill="1" applyBorder="1" applyAlignment="1">
      <alignment horizontal="right" vertical="center" wrapText="1"/>
    </xf>
    <xf numFmtId="183" fontId="8" fillId="0" borderId="0" xfId="0" applyNumberFormat="1" applyFont="1"/>
    <xf numFmtId="183" fontId="113" fillId="0" borderId="1" xfId="0" applyNumberFormat="1" applyFont="1" applyBorder="1" applyAlignment="1">
      <alignment horizontal="center" vertical="center" wrapText="1"/>
    </xf>
    <xf numFmtId="183" fontId="113" fillId="0" borderId="1" xfId="0" applyNumberFormat="1" applyFont="1" applyBorder="1" applyAlignment="1">
      <alignment horizontal="right" vertical="center" wrapText="1"/>
    </xf>
    <xf numFmtId="183" fontId="113" fillId="0" borderId="6" xfId="0" applyNumberFormat="1" applyFont="1" applyBorder="1" applyAlignment="1">
      <alignment horizontal="right" vertical="center" wrapText="1"/>
    </xf>
    <xf numFmtId="183" fontId="38" fillId="0" borderId="7" xfId="0" applyNumberFormat="1" applyFont="1" applyBorder="1" applyAlignment="1">
      <alignment horizontal="right" vertical="center" wrapText="1"/>
    </xf>
    <xf numFmtId="183" fontId="15" fillId="0" borderId="7" xfId="11" applyNumberFormat="1" applyFont="1" applyBorder="1" applyAlignment="1">
      <alignment horizontal="right" vertical="center" wrapText="1"/>
    </xf>
    <xf numFmtId="183" fontId="15" fillId="0" borderId="7" xfId="10" applyNumberFormat="1" applyFont="1" applyFill="1" applyBorder="1" applyAlignment="1">
      <alignment horizontal="right" vertical="center" wrapText="1"/>
    </xf>
    <xf numFmtId="183" fontId="15" fillId="0" borderId="7" xfId="11" applyNumberFormat="1" applyFont="1" applyFill="1" applyBorder="1" applyAlignment="1">
      <alignment horizontal="right" vertical="center" wrapText="1"/>
    </xf>
    <xf numFmtId="183" fontId="15" fillId="0" borderId="8" xfId="0" applyNumberFormat="1" applyFont="1" applyBorder="1" applyAlignment="1">
      <alignment horizontal="right" vertical="center" wrapText="1"/>
    </xf>
    <xf numFmtId="183" fontId="15" fillId="0" borderId="0" xfId="0" applyNumberFormat="1" applyFont="1"/>
    <xf numFmtId="183" fontId="139" fillId="0" borderId="9" xfId="0" applyNumberFormat="1" applyFont="1" applyBorder="1" applyAlignment="1">
      <alignment horizontal="right" vertical="center" wrapText="1"/>
    </xf>
    <xf numFmtId="183" fontId="139" fillId="3" borderId="7" xfId="11" applyNumberFormat="1" applyFont="1" applyFill="1" applyBorder="1" applyAlignment="1">
      <alignment horizontal="right" vertical="center" wrapText="1"/>
    </xf>
    <xf numFmtId="183" fontId="139" fillId="0" borderId="15" xfId="11" applyNumberFormat="1" applyFont="1" applyBorder="1" applyAlignment="1">
      <alignment horizontal="right" vertical="center" wrapText="1"/>
    </xf>
    <xf numFmtId="183" fontId="138" fillId="3" borderId="1" xfId="0" applyNumberFormat="1" applyFont="1" applyFill="1" applyBorder="1" applyAlignment="1">
      <alignment horizontal="right" vertical="center" wrapText="1"/>
    </xf>
    <xf numFmtId="183" fontId="139" fillId="0" borderId="45" xfId="0" applyNumberFormat="1" applyFont="1" applyBorder="1" applyAlignment="1">
      <alignment horizontal="right" vertical="center" wrapText="1"/>
    </xf>
    <xf numFmtId="183" fontId="139" fillId="3" borderId="45" xfId="0" applyNumberFormat="1" applyFont="1" applyFill="1" applyBorder="1" applyAlignment="1">
      <alignment horizontal="right" vertical="center" wrapText="1"/>
    </xf>
    <xf numFmtId="183" fontId="139" fillId="3" borderId="7" xfId="0" applyNumberFormat="1" applyFont="1" applyFill="1" applyBorder="1" applyAlignment="1">
      <alignment horizontal="right" vertical="center" wrapText="1"/>
    </xf>
    <xf numFmtId="183" fontId="139" fillId="0" borderId="8" xfId="0" applyNumberFormat="1" applyFont="1" applyBorder="1" applyAlignment="1">
      <alignment horizontal="right" vertical="center" wrapText="1"/>
    </xf>
    <xf numFmtId="183" fontId="139" fillId="3" borderId="8" xfId="0" applyNumberFormat="1" applyFont="1" applyFill="1" applyBorder="1" applyAlignment="1">
      <alignment horizontal="right" vertical="center" wrapText="1"/>
    </xf>
    <xf numFmtId="183" fontId="139" fillId="0" borderId="3" xfId="0" applyNumberFormat="1" applyFont="1" applyBorder="1" applyAlignment="1">
      <alignment horizontal="right" vertical="center" wrapText="1"/>
    </xf>
    <xf numFmtId="183" fontId="138" fillId="3" borderId="3" xfId="0" applyNumberFormat="1" applyFont="1" applyFill="1" applyBorder="1" applyAlignment="1">
      <alignment horizontal="right" vertical="center" wrapText="1"/>
    </xf>
    <xf numFmtId="166" fontId="139" fillId="0" borderId="45" xfId="11" applyFont="1" applyBorder="1" applyAlignment="1">
      <alignment horizontal="right" vertical="center" wrapText="1"/>
    </xf>
    <xf numFmtId="183" fontId="50" fillId="0" borderId="1" xfId="0" applyNumberFormat="1" applyFont="1" applyBorder="1" applyAlignment="1">
      <alignment horizontal="right" vertical="center" wrapText="1"/>
    </xf>
    <xf numFmtId="0" fontId="139" fillId="0" borderId="6" xfId="0" quotePrefix="1" applyFont="1" applyBorder="1" applyAlignment="1">
      <alignment horizontal="center" vertical="center" wrapText="1"/>
    </xf>
    <xf numFmtId="167" fontId="138" fillId="0" borderId="6" xfId="0" applyNumberFormat="1" applyFont="1" applyBorder="1" applyAlignment="1">
      <alignment horizontal="right" vertical="center" wrapText="1"/>
    </xf>
    <xf numFmtId="0" fontId="139" fillId="0" borderId="7" xfId="0" quotePrefix="1" applyFont="1" applyBorder="1" applyAlignment="1">
      <alignment horizontal="center" vertical="center" wrapText="1"/>
    </xf>
    <xf numFmtId="0" fontId="139" fillId="3" borderId="7" xfId="0" applyFont="1" applyFill="1" applyBorder="1" applyAlignment="1">
      <alignment horizontal="justify" vertical="center" wrapText="1"/>
    </xf>
    <xf numFmtId="0" fontId="139" fillId="0" borderId="7" xfId="0" applyFont="1" applyBorder="1" applyAlignment="1">
      <alignment vertical="center" wrapText="1"/>
    </xf>
    <xf numFmtId="0" fontId="139" fillId="0" borderId="7" xfId="0" applyFont="1" applyBorder="1" applyAlignment="1">
      <alignment vertical="center"/>
    </xf>
    <xf numFmtId="0" fontId="139" fillId="0" borderId="15" xfId="0" quotePrefix="1" applyFont="1" applyBorder="1" applyAlignment="1">
      <alignment horizontal="center" vertical="center" wrapText="1"/>
    </xf>
    <xf numFmtId="0" fontId="139" fillId="3" borderId="15" xfId="0" applyFont="1" applyFill="1" applyBorder="1" applyAlignment="1">
      <alignment horizontal="left" vertical="center" wrapText="1"/>
    </xf>
    <xf numFmtId="183" fontId="37" fillId="0" borderId="1" xfId="0" applyNumberFormat="1" applyFont="1" applyBorder="1" applyAlignment="1">
      <alignment horizontal="right" vertical="center" wrapText="1"/>
    </xf>
    <xf numFmtId="183" fontId="38" fillId="0" borderId="6" xfId="0" applyNumberFormat="1" applyFont="1" applyBorder="1" applyAlignment="1">
      <alignment horizontal="right" vertical="center" wrapText="1"/>
    </xf>
    <xf numFmtId="183" fontId="38" fillId="0" borderId="7" xfId="11" applyNumberFormat="1" applyFont="1" applyBorder="1" applyAlignment="1">
      <alignment horizontal="right" vertical="center" wrapText="1"/>
    </xf>
    <xf numFmtId="183" fontId="38" fillId="0" borderId="15" xfId="0" applyNumberFormat="1" applyFont="1" applyBorder="1" applyAlignment="1">
      <alignment horizontal="right" vertical="center" wrapText="1"/>
    </xf>
    <xf numFmtId="183" fontId="38" fillId="0" borderId="15" xfId="11" applyNumberFormat="1" applyFont="1" applyBorder="1" applyAlignment="1">
      <alignment horizontal="right" vertical="center" wrapText="1"/>
    </xf>
    <xf numFmtId="183" fontId="37" fillId="0" borderId="1" xfId="11" applyNumberFormat="1" applyFont="1" applyBorder="1" applyAlignment="1">
      <alignment horizontal="right" vertical="center" wrapText="1"/>
    </xf>
    <xf numFmtId="183" fontId="37" fillId="0" borderId="1" xfId="11" applyNumberFormat="1" applyFont="1" applyFill="1" applyBorder="1" applyAlignment="1">
      <alignment horizontal="right" vertical="center" wrapText="1"/>
    </xf>
    <xf numFmtId="183" fontId="38" fillId="0" borderId="9" xfId="0" applyNumberFormat="1" applyFont="1" applyBorder="1" applyAlignment="1">
      <alignment horizontal="right" vertical="center" wrapText="1"/>
    </xf>
    <xf numFmtId="166" fontId="38" fillId="0" borderId="9" xfId="11" applyFont="1" applyBorder="1" applyAlignment="1">
      <alignment horizontal="right" vertical="center" wrapText="1"/>
    </xf>
    <xf numFmtId="166" fontId="38" fillId="0" borderId="9" xfId="11" applyFont="1" applyFill="1" applyBorder="1" applyAlignment="1">
      <alignment horizontal="right" vertical="center" wrapText="1"/>
    </xf>
    <xf numFmtId="183" fontId="38" fillId="0" borderId="9" xfId="11" applyNumberFormat="1" applyFont="1" applyBorder="1" applyAlignment="1">
      <alignment horizontal="right" vertical="center" wrapText="1"/>
    </xf>
    <xf numFmtId="183" fontId="38" fillId="0" borderId="15" xfId="11" applyNumberFormat="1" applyFont="1" applyFill="1" applyBorder="1" applyAlignment="1">
      <alignment horizontal="right" vertical="center" wrapText="1"/>
    </xf>
    <xf numFmtId="166" fontId="38" fillId="0" borderId="7" xfId="11" applyFont="1" applyBorder="1" applyAlignment="1">
      <alignment horizontal="right" vertical="center" wrapText="1"/>
    </xf>
    <xf numFmtId="166" fontId="38" fillId="0" borderId="15" xfId="11" applyFont="1" applyBorder="1" applyAlignment="1">
      <alignment horizontal="right" vertical="center" wrapText="1"/>
    </xf>
    <xf numFmtId="166" fontId="37" fillId="0" borderId="1" xfId="11" applyFont="1" applyBorder="1" applyAlignment="1">
      <alignment horizontal="right" vertical="center" wrapText="1"/>
    </xf>
    <xf numFmtId="183" fontId="50" fillId="0" borderId="22" xfId="0" applyNumberFormat="1" applyFont="1" applyBorder="1" applyAlignment="1">
      <alignment horizontal="right" vertical="center" wrapText="1"/>
    </xf>
    <xf numFmtId="183" fontId="47" fillId="0" borderId="6" xfId="11" applyNumberFormat="1" applyFont="1" applyFill="1" applyBorder="1" applyAlignment="1">
      <alignment horizontal="right" vertical="center" wrapText="1"/>
    </xf>
    <xf numFmtId="183" fontId="47" fillId="0" borderId="6" xfId="0" applyNumberFormat="1" applyFont="1" applyBorder="1" applyAlignment="1">
      <alignment horizontal="right" vertical="center" wrapText="1"/>
    </xf>
    <xf numFmtId="183" fontId="47" fillId="0" borderId="7" xfId="11" applyNumberFormat="1" applyFont="1" applyFill="1" applyBorder="1" applyAlignment="1">
      <alignment horizontal="right" vertical="center" wrapText="1"/>
    </xf>
    <xf numFmtId="183" fontId="47" fillId="0" borderId="7" xfId="0" applyNumberFormat="1" applyFont="1" applyBorder="1" applyAlignment="1">
      <alignment horizontal="right" vertical="center" wrapText="1"/>
    </xf>
    <xf numFmtId="183" fontId="50" fillId="0" borderId="7" xfId="11" applyNumberFormat="1" applyFont="1" applyFill="1" applyBorder="1" applyAlignment="1">
      <alignment horizontal="right" vertical="center" wrapText="1"/>
    </xf>
    <xf numFmtId="183" fontId="47" fillId="0" borderId="7" xfId="0" applyNumberFormat="1" applyFont="1" applyBorder="1" applyAlignment="1">
      <alignment horizontal="right" vertical="center"/>
    </xf>
    <xf numFmtId="183" fontId="47" fillId="0" borderId="8" xfId="11" applyNumberFormat="1" applyFont="1" applyFill="1" applyBorder="1" applyAlignment="1">
      <alignment horizontal="right" vertical="center" wrapText="1"/>
    </xf>
    <xf numFmtId="183" fontId="47" fillId="0" borderId="8" xfId="0" applyNumberFormat="1" applyFont="1" applyBorder="1" applyAlignment="1">
      <alignment horizontal="right" vertical="center" wrapText="1"/>
    </xf>
    <xf numFmtId="183" fontId="47" fillId="0" borderId="8" xfId="0" applyNumberFormat="1" applyFont="1" applyBorder="1" applyAlignment="1">
      <alignment horizontal="right" vertical="center"/>
    </xf>
    <xf numFmtId="0" fontId="47" fillId="0" borderId="6" xfId="0" quotePrefix="1" applyFont="1" applyBorder="1" applyAlignment="1">
      <alignment horizontal="center" vertical="center"/>
    </xf>
    <xf numFmtId="0" fontId="47" fillId="0" borderId="7" xfId="0" quotePrefix="1" applyFont="1" applyBorder="1" applyAlignment="1">
      <alignment horizontal="center" vertical="center"/>
    </xf>
    <xf numFmtId="208" fontId="47" fillId="0" borderId="0" xfId="11" applyNumberFormat="1" applyFont="1" applyBorder="1" applyAlignment="1">
      <alignment horizontal="center" vertical="center"/>
    </xf>
    <xf numFmtId="239" fontId="47" fillId="0" borderId="0" xfId="0" applyNumberFormat="1" applyFont="1" applyAlignment="1">
      <alignment horizontal="center" vertical="center"/>
    </xf>
    <xf numFmtId="239" fontId="47" fillId="0" borderId="0" xfId="11" applyNumberFormat="1" applyFont="1" applyAlignment="1">
      <alignment vertical="center"/>
    </xf>
    <xf numFmtId="208" fontId="47" fillId="0" borderId="0" xfId="0" applyNumberFormat="1" applyFont="1" applyAlignment="1">
      <alignment horizontal="center" vertical="center"/>
    </xf>
    <xf numFmtId="176" fontId="47" fillId="0" borderId="0" xfId="11" applyNumberFormat="1" applyFont="1" applyBorder="1" applyAlignment="1">
      <alignment horizontal="center" vertical="center"/>
    </xf>
    <xf numFmtId="176" fontId="47" fillId="0" borderId="0" xfId="11" applyNumberFormat="1" applyFont="1" applyFill="1" applyBorder="1" applyAlignment="1">
      <alignment horizontal="center" vertical="center"/>
    </xf>
    <xf numFmtId="176" fontId="47" fillId="0" borderId="0" xfId="11" applyNumberFormat="1" applyFont="1" applyFill="1" applyBorder="1" applyAlignment="1">
      <alignment vertical="center"/>
    </xf>
    <xf numFmtId="166" fontId="47" fillId="0" borderId="0" xfId="11" applyFont="1" applyBorder="1" applyAlignment="1">
      <alignment vertical="center"/>
    </xf>
    <xf numFmtId="176" fontId="47" fillId="0" borderId="0" xfId="11" applyNumberFormat="1" applyFont="1" applyBorder="1" applyAlignment="1">
      <alignment vertical="center"/>
    </xf>
    <xf numFmtId="212" fontId="47" fillId="0" borderId="0" xfId="11" applyNumberFormat="1" applyFont="1" applyBorder="1" applyAlignment="1">
      <alignment vertical="center"/>
    </xf>
    <xf numFmtId="0" fontId="17" fillId="0" borderId="45" xfId="0" applyFont="1" applyBorder="1" applyAlignment="1">
      <alignment horizontal="center" vertical="center" wrapText="1"/>
    </xf>
    <xf numFmtId="170" fontId="11" fillId="0" borderId="45" xfId="13" quotePrefix="1" applyNumberFormat="1" applyFont="1" applyBorder="1" applyAlignment="1">
      <alignment vertical="center" wrapText="1"/>
    </xf>
    <xf numFmtId="3" fontId="11" fillId="0" borderId="45" xfId="0" applyNumberFormat="1" applyFont="1" applyBorder="1" applyAlignment="1">
      <alignment horizontal="right" vertical="center"/>
    </xf>
    <xf numFmtId="167" fontId="17" fillId="0" borderId="45" xfId="0" applyNumberFormat="1" applyFont="1" applyBorder="1" applyAlignment="1">
      <alignment horizontal="right" vertical="center" wrapText="1"/>
    </xf>
    <xf numFmtId="257" fontId="14" fillId="0" borderId="45" xfId="100" applyNumberFormat="1" applyFont="1" applyFill="1" applyBorder="1" applyAlignment="1">
      <alignment horizontal="right" vertical="center" wrapText="1"/>
    </xf>
    <xf numFmtId="257" fontId="14" fillId="0" borderId="8" xfId="100" applyNumberFormat="1" applyFont="1" applyFill="1" applyBorder="1" applyAlignment="1">
      <alignment horizontal="right" vertical="center" wrapText="1"/>
    </xf>
    <xf numFmtId="208" fontId="47" fillId="0" borderId="0" xfId="11" applyNumberFormat="1" applyFont="1" applyAlignment="1">
      <alignment vertical="center"/>
    </xf>
    <xf numFmtId="208" fontId="47" fillId="0" borderId="0" xfId="0" applyNumberFormat="1" applyFont="1" applyAlignment="1">
      <alignment vertical="center"/>
    </xf>
    <xf numFmtId="0" fontId="17" fillId="0" borderId="8" xfId="0" applyFont="1" applyBorder="1" applyAlignment="1">
      <alignment vertical="center"/>
    </xf>
    <xf numFmtId="3" fontId="17" fillId="0" borderId="8" xfId="0" applyNumberFormat="1" applyFont="1" applyBorder="1" applyAlignment="1">
      <alignment vertical="center"/>
    </xf>
    <xf numFmtId="2" fontId="47" fillId="3" borderId="1" xfId="0" applyNumberFormat="1" applyFont="1" applyFill="1" applyBorder="1" applyAlignment="1">
      <alignment horizontal="justify" vertical="center" wrapText="1"/>
    </xf>
    <xf numFmtId="183" fontId="17" fillId="0" borderId="0" xfId="0" applyNumberFormat="1" applyFont="1" applyAlignment="1">
      <alignment vertical="center"/>
    </xf>
    <xf numFmtId="49" fontId="113" fillId="0" borderId="1" xfId="11" applyNumberFormat="1" applyFont="1" applyBorder="1" applyAlignment="1">
      <alignment horizontal="center" vertical="center" wrapText="1"/>
    </xf>
    <xf numFmtId="49" fontId="50" fillId="0" borderId="1" xfId="0" applyNumberFormat="1" applyFont="1" applyBorder="1" applyAlignment="1">
      <alignment horizontal="center" vertical="center" wrapText="1"/>
    </xf>
    <xf numFmtId="167" fontId="10" fillId="0" borderId="1" xfId="0" applyNumberFormat="1" applyFont="1" applyBorder="1" applyAlignment="1">
      <alignment horizontal="center" vertical="center" wrapText="1"/>
    </xf>
    <xf numFmtId="166" fontId="136" fillId="0" borderId="15" xfId="11" applyFont="1" applyBorder="1" applyAlignment="1">
      <alignment horizontal="right" vertical="center" wrapText="1"/>
    </xf>
    <xf numFmtId="166" fontId="136" fillId="3" borderId="15" xfId="11" applyFont="1" applyFill="1" applyBorder="1" applyAlignment="1">
      <alignment horizontal="right" vertical="center" wrapText="1"/>
    </xf>
    <xf numFmtId="262" fontId="17" fillId="0" borderId="0" xfId="0" applyNumberFormat="1" applyFont="1" applyAlignment="1">
      <alignment vertical="center"/>
    </xf>
    <xf numFmtId="168" fontId="17" fillId="0" borderId="0" xfId="0" applyNumberFormat="1" applyFont="1" applyAlignment="1">
      <alignment vertical="center"/>
    </xf>
    <xf numFmtId="0" fontId="17" fillId="0" borderId="7" xfId="0" applyFont="1" applyBorder="1" applyAlignment="1">
      <alignment horizontal="center" vertical="center"/>
    </xf>
    <xf numFmtId="2" fontId="55" fillId="3" borderId="1" xfId="0" applyNumberFormat="1" applyFont="1" applyFill="1" applyBorder="1" applyAlignment="1">
      <alignment vertical="center" wrapText="1"/>
    </xf>
    <xf numFmtId="2" fontId="47" fillId="3" borderId="1" xfId="0" applyNumberFormat="1" applyFont="1" applyFill="1" applyBorder="1" applyAlignment="1">
      <alignment vertical="center" wrapText="1"/>
    </xf>
    <xf numFmtId="262" fontId="17" fillId="0" borderId="0" xfId="0" applyNumberFormat="1" applyFont="1"/>
    <xf numFmtId="183" fontId="55" fillId="3" borderId="1" xfId="11" applyNumberFormat="1" applyFont="1" applyFill="1" applyBorder="1" applyAlignment="1">
      <alignment horizontal="right" vertical="center" wrapText="1"/>
    </xf>
    <xf numFmtId="183" fontId="131" fillId="0" borderId="0" xfId="0" applyNumberFormat="1" applyFont="1"/>
    <xf numFmtId="183" fontId="71" fillId="0" borderId="0" xfId="0" applyNumberFormat="1" applyFont="1"/>
    <xf numFmtId="167" fontId="17" fillId="0" borderId="0" xfId="0" applyNumberFormat="1" applyFont="1" applyAlignment="1">
      <alignment horizontal="center" wrapText="1"/>
    </xf>
    <xf numFmtId="167" fontId="10" fillId="0" borderId="1" xfId="0" applyNumberFormat="1" applyFont="1" applyBorder="1" applyAlignment="1">
      <alignment vertical="center"/>
    </xf>
    <xf numFmtId="167" fontId="47" fillId="3" borderId="1" xfId="11" applyNumberFormat="1" applyFont="1" applyFill="1" applyBorder="1" applyAlignment="1">
      <alignment horizontal="right" vertical="center"/>
    </xf>
    <xf numFmtId="167" fontId="55" fillId="3" borderId="1" xfId="11" applyNumberFormat="1" applyFont="1" applyFill="1" applyBorder="1" applyAlignment="1">
      <alignment horizontal="right" vertical="center" wrapText="1"/>
    </xf>
    <xf numFmtId="167" fontId="17" fillId="0" borderId="0" xfId="164" applyNumberFormat="1" applyFont="1"/>
    <xf numFmtId="0" fontId="17" fillId="0" borderId="9" xfId="0" applyFont="1" applyBorder="1" applyAlignment="1">
      <alignment horizontal="center" vertical="center"/>
    </xf>
    <xf numFmtId="167" fontId="17" fillId="0" borderId="1" xfId="0" applyNumberFormat="1" applyFont="1" applyBorder="1" applyAlignment="1">
      <alignment horizontal="center" wrapText="1"/>
    </xf>
    <xf numFmtId="0" fontId="17" fillId="0" borderId="1" xfId="0" applyFont="1" applyBorder="1"/>
    <xf numFmtId="0" fontId="17" fillId="0" borderId="15" xfId="0" applyFont="1" applyBorder="1" applyAlignment="1">
      <alignment horizontal="center" vertical="center"/>
    </xf>
    <xf numFmtId="167" fontId="17" fillId="0" borderId="1" xfId="0" applyNumberFormat="1" applyFont="1" applyBorder="1" applyAlignment="1">
      <alignment horizontal="right" vertical="center"/>
    </xf>
    <xf numFmtId="49" fontId="47" fillId="0" borderId="1" xfId="0" applyNumberFormat="1" applyFont="1" applyBorder="1" applyAlignment="1">
      <alignment horizontal="center" vertical="center"/>
    </xf>
    <xf numFmtId="49" fontId="17" fillId="0" borderId="1" xfId="0" applyNumberFormat="1" applyFont="1" applyBorder="1" applyAlignment="1">
      <alignment horizontal="center" vertical="center"/>
    </xf>
    <xf numFmtId="49" fontId="47" fillId="0" borderId="0" xfId="0" applyNumberFormat="1" applyFont="1" applyAlignment="1">
      <alignment horizontal="center" vertical="center"/>
    </xf>
    <xf numFmtId="0" fontId="40" fillId="3" borderId="1" xfId="2" applyFont="1" applyFill="1" applyBorder="1" applyAlignment="1">
      <alignment vertical="center" wrapText="1"/>
    </xf>
    <xf numFmtId="1" fontId="11" fillId="0" borderId="1" xfId="79" applyNumberFormat="1" applyFont="1" applyBorder="1" applyAlignment="1">
      <alignment horizontal="justify" vertical="center" wrapText="1"/>
    </xf>
    <xf numFmtId="183" fontId="17" fillId="0" borderId="0" xfId="0" applyNumberFormat="1" applyFont="1" applyAlignment="1">
      <alignment horizontal="right" vertical="center" wrapText="1"/>
    </xf>
    <xf numFmtId="1" fontId="17" fillId="0" borderId="1" xfId="79" applyNumberFormat="1" applyFont="1" applyBorder="1" applyAlignment="1">
      <alignment horizontal="justify" vertical="center" wrapText="1"/>
    </xf>
    <xf numFmtId="1" fontId="40" fillId="3" borderId="1" xfId="79" applyNumberFormat="1" applyFont="1" applyFill="1" applyBorder="1" applyAlignment="1">
      <alignment horizontal="justify" vertical="center" wrapText="1"/>
    </xf>
    <xf numFmtId="3" fontId="10" fillId="0" borderId="1" xfId="165" applyNumberFormat="1" applyFont="1" applyBorder="1" applyAlignment="1">
      <alignment horizontal="justify" vertical="center"/>
    </xf>
    <xf numFmtId="183" fontId="17" fillId="0" borderId="1" xfId="0" applyNumberFormat="1" applyFont="1" applyBorder="1" applyAlignment="1">
      <alignment horizontal="right" vertical="center" wrapText="1"/>
    </xf>
    <xf numFmtId="1" fontId="10" fillId="0" borderId="1" xfId="79" applyNumberFormat="1" applyFont="1" applyBorder="1" applyAlignment="1">
      <alignment horizontal="justify" vertical="center" wrapText="1"/>
    </xf>
    <xf numFmtId="183" fontId="40" fillId="0" borderId="0" xfId="0" applyNumberFormat="1" applyFont="1" applyAlignment="1">
      <alignment horizontal="right" vertical="center" wrapText="1"/>
    </xf>
    <xf numFmtId="3" fontId="40" fillId="0" borderId="0" xfId="0" applyNumberFormat="1" applyFont="1" applyAlignment="1">
      <alignment horizontal="right" vertical="center" wrapText="1"/>
    </xf>
    <xf numFmtId="183" fontId="44" fillId="0" borderId="8" xfId="0" applyNumberFormat="1" applyFont="1" applyBorder="1" applyAlignment="1">
      <alignment horizontal="center" vertical="center" wrapText="1"/>
    </xf>
    <xf numFmtId="3" fontId="44" fillId="0" borderId="8" xfId="0" applyNumberFormat="1" applyFont="1" applyBorder="1" applyAlignment="1">
      <alignment horizontal="center" vertical="center" wrapText="1"/>
    </xf>
    <xf numFmtId="183" fontId="44" fillId="0" borderId="1" xfId="0" applyNumberFormat="1" applyFont="1" applyBorder="1" applyAlignment="1">
      <alignment horizontal="right" vertical="center" wrapText="1"/>
    </xf>
    <xf numFmtId="183" fontId="40" fillId="0" borderId="1" xfId="0" applyNumberFormat="1" applyFont="1" applyBorder="1" applyAlignment="1">
      <alignment horizontal="right" vertical="center" wrapText="1"/>
    </xf>
    <xf numFmtId="3" fontId="40" fillId="0" borderId="1" xfId="0" applyNumberFormat="1" applyFont="1" applyBorder="1" applyAlignment="1">
      <alignment horizontal="right" vertical="center" wrapText="1"/>
    </xf>
    <xf numFmtId="3" fontId="44" fillId="0" borderId="1" xfId="0" applyNumberFormat="1" applyFont="1" applyBorder="1" applyAlignment="1">
      <alignment horizontal="right" vertical="center" wrapText="1"/>
    </xf>
    <xf numFmtId="167" fontId="136" fillId="0" borderId="1" xfId="0" applyNumberFormat="1" applyFont="1" applyBorder="1" applyAlignment="1">
      <alignment horizontal="center" vertical="center" wrapText="1"/>
    </xf>
    <xf numFmtId="167" fontId="136" fillId="0" borderId="1" xfId="0" applyNumberFormat="1" applyFont="1" applyBorder="1" applyAlignment="1">
      <alignment vertical="center" wrapText="1"/>
    </xf>
    <xf numFmtId="167" fontId="136" fillId="0" borderId="1" xfId="10" applyNumberFormat="1" applyFont="1" applyFill="1" applyBorder="1" applyAlignment="1">
      <alignment horizontal="right" vertical="center" wrapText="1"/>
    </xf>
    <xf numFmtId="166" fontId="136" fillId="0" borderId="1" xfId="11" applyFont="1" applyFill="1" applyBorder="1" applyAlignment="1">
      <alignment horizontal="right" vertical="center" wrapText="1"/>
    </xf>
    <xf numFmtId="167" fontId="136" fillId="0" borderId="0" xfId="11" applyNumberFormat="1" applyFont="1" applyFill="1"/>
    <xf numFmtId="0" fontId="151" fillId="0" borderId="1" xfId="0" applyFont="1" applyBorder="1" applyAlignment="1">
      <alignment horizontal="center" vertical="center" wrapText="1"/>
    </xf>
    <xf numFmtId="0" fontId="154" fillId="3" borderId="1" xfId="0" applyFont="1" applyFill="1" applyBorder="1" applyAlignment="1">
      <alignment vertical="center" wrapText="1"/>
    </xf>
    <xf numFmtId="174" fontId="151" fillId="0" borderId="1" xfId="10" applyNumberFormat="1" applyFont="1" applyFill="1" applyBorder="1" applyAlignment="1">
      <alignment horizontal="right" vertical="center" wrapText="1"/>
    </xf>
    <xf numFmtId="166" fontId="151" fillId="0" borderId="1" xfId="11" applyFont="1" applyFill="1" applyBorder="1" applyAlignment="1">
      <alignment horizontal="right" vertical="center" wrapText="1"/>
    </xf>
    <xf numFmtId="184" fontId="151" fillId="0" borderId="1" xfId="11" applyNumberFormat="1" applyFont="1" applyFill="1" applyBorder="1" applyAlignment="1">
      <alignment horizontal="right" vertical="center" wrapText="1"/>
    </xf>
    <xf numFmtId="184" fontId="151" fillId="0" borderId="1" xfId="10" applyNumberFormat="1" applyFont="1" applyFill="1" applyBorder="1" applyAlignment="1">
      <alignment horizontal="right" vertical="center" wrapText="1"/>
    </xf>
    <xf numFmtId="177" fontId="151" fillId="0" borderId="1" xfId="10" applyNumberFormat="1" applyFont="1" applyFill="1" applyBorder="1" applyAlignment="1">
      <alignment horizontal="right" vertical="center" wrapText="1"/>
    </xf>
    <xf numFmtId="174" fontId="136" fillId="0" borderId="1" xfId="10" applyNumberFormat="1" applyFont="1" applyFill="1" applyBorder="1" applyAlignment="1">
      <alignment horizontal="right" vertical="center" wrapText="1"/>
    </xf>
    <xf numFmtId="176" fontId="151" fillId="0" borderId="1" xfId="11" applyNumberFormat="1" applyFont="1" applyFill="1" applyBorder="1" applyAlignment="1">
      <alignment horizontal="right" vertical="center" wrapText="1"/>
    </xf>
    <xf numFmtId="0" fontId="151" fillId="0" borderId="21" xfId="0" applyFont="1" applyBorder="1" applyAlignment="1">
      <alignment horizontal="center" vertical="center" wrapText="1"/>
    </xf>
    <xf numFmtId="0" fontId="154" fillId="3" borderId="21" xfId="0" applyFont="1" applyFill="1" applyBorder="1" applyAlignment="1">
      <alignment vertical="center" wrapText="1"/>
    </xf>
    <xf numFmtId="174" fontId="151" fillId="0" borderId="21" xfId="10" applyNumberFormat="1" applyFont="1" applyFill="1" applyBorder="1" applyAlignment="1">
      <alignment horizontal="right" vertical="center" wrapText="1"/>
    </xf>
    <xf numFmtId="166" fontId="151" fillId="0" borderId="21" xfId="11" applyFont="1" applyFill="1" applyBorder="1" applyAlignment="1">
      <alignment horizontal="right" vertical="center" wrapText="1"/>
    </xf>
    <xf numFmtId="176" fontId="151" fillId="0" borderId="21" xfId="11" applyNumberFormat="1" applyFont="1" applyFill="1" applyBorder="1" applyAlignment="1">
      <alignment horizontal="right" vertical="center" wrapText="1"/>
    </xf>
    <xf numFmtId="259" fontId="151" fillId="0" borderId="21" xfId="10" applyNumberFormat="1" applyFont="1" applyFill="1" applyBorder="1" applyAlignment="1">
      <alignment horizontal="right" vertical="center" wrapText="1"/>
    </xf>
    <xf numFmtId="0" fontId="151" fillId="0" borderId="21" xfId="0" applyFont="1" applyBorder="1" applyAlignment="1">
      <alignment horizontal="center" vertical="center"/>
    </xf>
    <xf numFmtId="0" fontId="151" fillId="0" borderId="21" xfId="0" applyFont="1" applyBorder="1" applyAlignment="1">
      <alignment horizontal="left" vertical="center"/>
    </xf>
    <xf numFmtId="176" fontId="151" fillId="0" borderId="0" xfId="11" applyNumberFormat="1" applyFont="1" applyFill="1" applyAlignment="1">
      <alignment horizontal="center" vertical="center"/>
    </xf>
    <xf numFmtId="0" fontId="151" fillId="0" borderId="0" xfId="0" applyFont="1" applyAlignment="1">
      <alignment horizontal="center" vertical="center"/>
    </xf>
    <xf numFmtId="0" fontId="151" fillId="0" borderId="21" xfId="0" applyFont="1" applyBorder="1" applyAlignment="1">
      <alignment horizontal="right" vertical="center"/>
    </xf>
    <xf numFmtId="177" fontId="151" fillId="0" borderId="21" xfId="10" applyNumberFormat="1" applyFont="1" applyFill="1" applyBorder="1" applyAlignment="1">
      <alignment horizontal="right" vertical="center"/>
    </xf>
    <xf numFmtId="176" fontId="151" fillId="0" borderId="21" xfId="11" applyNumberFormat="1" applyFont="1" applyFill="1" applyBorder="1" applyAlignment="1">
      <alignment horizontal="right" vertical="center"/>
    </xf>
    <xf numFmtId="0" fontId="38" fillId="0" borderId="0" xfId="0" applyFont="1" applyAlignment="1">
      <alignment horizontal="right"/>
    </xf>
    <xf numFmtId="175" fontId="38" fillId="0" borderId="0" xfId="0" applyNumberFormat="1" applyFont="1" applyAlignment="1">
      <alignment horizontal="right"/>
    </xf>
    <xf numFmtId="177" fontId="38" fillId="0" borderId="0" xfId="10" applyNumberFormat="1" applyFont="1" applyFill="1" applyAlignment="1">
      <alignment horizontal="right"/>
    </xf>
    <xf numFmtId="176" fontId="38" fillId="0" borderId="0" xfId="11" applyNumberFormat="1" applyFont="1" applyFill="1" applyAlignment="1">
      <alignment horizontal="right"/>
    </xf>
    <xf numFmtId="43" fontId="38" fillId="0" borderId="0" xfId="0" applyNumberFormat="1" applyFont="1" applyAlignment="1">
      <alignment horizontal="right"/>
    </xf>
    <xf numFmtId="4" fontId="38" fillId="0" borderId="0" xfId="0" applyNumberFormat="1" applyFont="1" applyAlignment="1">
      <alignment horizontal="right"/>
    </xf>
    <xf numFmtId="176" fontId="38" fillId="0" borderId="0" xfId="11" applyNumberFormat="1" applyFont="1" applyAlignment="1">
      <alignment horizontal="right"/>
    </xf>
    <xf numFmtId="167" fontId="151" fillId="0" borderId="1" xfId="10" applyNumberFormat="1" applyFont="1" applyFill="1" applyBorder="1" applyAlignment="1">
      <alignment horizontal="right" vertical="center" wrapText="1"/>
    </xf>
    <xf numFmtId="167" fontId="151" fillId="0" borderId="21" xfId="10" applyNumberFormat="1" applyFont="1" applyFill="1" applyBorder="1" applyAlignment="1">
      <alignment horizontal="right" vertical="center" wrapText="1"/>
    </xf>
    <xf numFmtId="183" fontId="10" fillId="0" borderId="0" xfId="0" applyNumberFormat="1" applyFont="1" applyAlignment="1">
      <alignment vertical="center"/>
    </xf>
    <xf numFmtId="183" fontId="11" fillId="0" borderId="0" xfId="0" applyNumberFormat="1" applyFont="1" applyAlignment="1">
      <alignment vertical="center"/>
    </xf>
    <xf numFmtId="183" fontId="10" fillId="0" borderId="6" xfId="0" applyNumberFormat="1" applyFont="1" applyBorder="1" applyAlignment="1">
      <alignment vertical="center" wrapText="1"/>
    </xf>
    <xf numFmtId="183" fontId="10" fillId="0" borderId="7" xfId="0" applyNumberFormat="1" applyFont="1" applyBorder="1" applyAlignment="1">
      <alignment vertical="center" wrapText="1"/>
    </xf>
    <xf numFmtId="183" fontId="17" fillId="0" borderId="8" xfId="0" applyNumberFormat="1" applyFont="1" applyBorder="1" applyAlignment="1">
      <alignment vertical="center" wrapText="1"/>
    </xf>
    <xf numFmtId="183" fontId="10" fillId="0" borderId="0" xfId="41" applyNumberFormat="1" applyFont="1" applyAlignment="1">
      <alignment vertical="center"/>
    </xf>
    <xf numFmtId="183" fontId="87" fillId="0" borderId="9" xfId="0" applyNumberFormat="1" applyFont="1" applyBorder="1" applyAlignment="1">
      <alignment horizontal="center" vertical="center" wrapText="1"/>
    </xf>
    <xf numFmtId="183" fontId="131" fillId="0" borderId="7" xfId="0" applyNumberFormat="1" applyFont="1" applyBorder="1" applyAlignment="1">
      <alignment vertical="center" wrapText="1"/>
    </xf>
    <xf numFmtId="183" fontId="87" fillId="0" borderId="7" xfId="0" applyNumberFormat="1" applyFont="1" applyBorder="1" applyAlignment="1">
      <alignment vertical="center" wrapText="1"/>
    </xf>
    <xf numFmtId="183" fontId="131" fillId="0" borderId="8" xfId="0" applyNumberFormat="1" applyFont="1" applyBorder="1" applyAlignment="1">
      <alignment vertical="center" wrapText="1"/>
    </xf>
    <xf numFmtId="183" fontId="11" fillId="0" borderId="0" xfId="41" applyNumberFormat="1" applyFont="1" applyAlignment="1">
      <alignment vertical="center"/>
    </xf>
    <xf numFmtId="0" fontId="71" fillId="0" borderId="15" xfId="0" applyFont="1" applyBorder="1" applyAlignment="1">
      <alignment vertical="center" wrapText="1"/>
    </xf>
    <xf numFmtId="170" fontId="71" fillId="0" borderId="0" xfId="164" applyNumberFormat="1" applyFont="1" applyAlignment="1">
      <alignment wrapText="1"/>
    </xf>
    <xf numFmtId="0" fontId="71" fillId="0" borderId="9" xfId="0" applyFont="1" applyBorder="1" applyAlignment="1">
      <alignment vertical="center" wrapText="1"/>
    </xf>
    <xf numFmtId="170" fontId="10" fillId="0" borderId="0" xfId="164" applyNumberFormat="1" applyFont="1"/>
    <xf numFmtId="170" fontId="11" fillId="0" borderId="0" xfId="164" applyNumberFormat="1" applyFont="1"/>
    <xf numFmtId="0" fontId="128" fillId="0" borderId="1" xfId="0" applyFont="1" applyBorder="1" applyAlignment="1">
      <alignment horizontal="left" vertical="center" wrapText="1"/>
    </xf>
    <xf numFmtId="0" fontId="125" fillId="0" borderId="1" xfId="0" applyFont="1" applyBorder="1" applyAlignment="1">
      <alignment horizontal="left" vertical="center" wrapText="1"/>
    </xf>
    <xf numFmtId="0" fontId="123" fillId="0" borderId="1" xfId="0" applyFont="1" applyBorder="1" applyAlignment="1">
      <alignment horizontal="left" vertical="center" wrapText="1"/>
    </xf>
    <xf numFmtId="0" fontId="54" fillId="0" borderId="1" xfId="0" applyFont="1" applyBorder="1" applyAlignment="1">
      <alignment vertical="center" wrapText="1"/>
    </xf>
    <xf numFmtId="167" fontId="31" fillId="0" borderId="1" xfId="0" applyNumberFormat="1" applyFont="1" applyBorder="1" applyAlignment="1">
      <alignment horizontal="right" vertical="center" wrapText="1"/>
    </xf>
    <xf numFmtId="183" fontId="31" fillId="0" borderId="1" xfId="0" applyNumberFormat="1" applyFont="1" applyBorder="1" applyAlignment="1">
      <alignment horizontal="right" vertical="center" wrapText="1"/>
    </xf>
    <xf numFmtId="193" fontId="33" fillId="0" borderId="1" xfId="0" applyNumberFormat="1" applyFont="1" applyBorder="1" applyAlignment="1">
      <alignment horizontal="right" vertical="center" wrapText="1"/>
    </xf>
    <xf numFmtId="183" fontId="33" fillId="0" borderId="1" xfId="0" applyNumberFormat="1" applyFont="1" applyBorder="1" applyAlignment="1">
      <alignment horizontal="right" vertical="center" wrapText="1"/>
    </xf>
    <xf numFmtId="0" fontId="31" fillId="0" borderId="1" xfId="0" applyFont="1" applyBorder="1" applyAlignment="1">
      <alignment vertical="center" wrapText="1"/>
    </xf>
    <xf numFmtId="0" fontId="31" fillId="0" borderId="1" xfId="0" applyFont="1" applyBorder="1" applyAlignment="1">
      <alignment horizontal="center" vertical="center" wrapText="1"/>
    </xf>
    <xf numFmtId="183" fontId="42" fillId="0" borderId="1" xfId="0" applyNumberFormat="1" applyFont="1" applyBorder="1" applyAlignment="1">
      <alignment horizontal="right" vertical="center" wrapText="1"/>
    </xf>
    <xf numFmtId="0" fontId="44" fillId="0" borderId="0" xfId="0" applyFont="1" applyAlignment="1">
      <alignment vertical="center"/>
    </xf>
    <xf numFmtId="0" fontId="40" fillId="0" borderId="0" xfId="0" applyFont="1"/>
    <xf numFmtId="176" fontId="10" fillId="0" borderId="0" xfId="11" applyNumberFormat="1" applyFont="1"/>
    <xf numFmtId="167" fontId="10" fillId="0" borderId="0" xfId="0" applyNumberFormat="1" applyFont="1"/>
    <xf numFmtId="3" fontId="75" fillId="0" borderId="0" xfId="0" applyNumberFormat="1" applyFont="1"/>
    <xf numFmtId="0" fontId="20" fillId="0" borderId="1" xfId="0" applyFont="1" applyBorder="1" applyAlignment="1">
      <alignment horizontal="center" vertical="center" wrapText="1"/>
    </xf>
    <xf numFmtId="167" fontId="20" fillId="0" borderId="1" xfId="0" applyNumberFormat="1" applyFont="1" applyBorder="1" applyAlignment="1">
      <alignment horizontal="right" vertical="center" wrapText="1"/>
    </xf>
    <xf numFmtId="211" fontId="20" fillId="0" borderId="0" xfId="0" applyNumberFormat="1" applyFont="1" applyAlignment="1">
      <alignment vertical="center"/>
    </xf>
    <xf numFmtId="0" fontId="20" fillId="0" borderId="0" xfId="0" applyFont="1" applyAlignment="1">
      <alignment vertical="center"/>
    </xf>
    <xf numFmtId="167" fontId="20" fillId="0" borderId="1" xfId="0" applyNumberFormat="1" applyFont="1" applyBorder="1" applyAlignment="1">
      <alignment horizontal="center" vertical="center" wrapText="1"/>
    </xf>
    <xf numFmtId="211" fontId="20" fillId="0" borderId="0" xfId="0" applyNumberFormat="1" applyFont="1"/>
    <xf numFmtId="190" fontId="20" fillId="0" borderId="0" xfId="11" applyNumberFormat="1" applyFont="1" applyFill="1"/>
    <xf numFmtId="208" fontId="20" fillId="0" borderId="0" xfId="11" applyNumberFormat="1" applyFont="1" applyFill="1"/>
    <xf numFmtId="246" fontId="20" fillId="0" borderId="0" xfId="0" applyNumberFormat="1" applyFont="1"/>
    <xf numFmtId="0" fontId="20" fillId="0" borderId="0" xfId="0" applyFont="1"/>
    <xf numFmtId="3" fontId="20" fillId="0" borderId="1" xfId="92" applyNumberFormat="1" applyFont="1" applyBorder="1" applyAlignment="1">
      <alignment horizontal="left" vertical="center" wrapText="1"/>
    </xf>
    <xf numFmtId="0" fontId="13" fillId="0" borderId="1" xfId="91" applyFont="1" applyBorder="1" applyAlignment="1">
      <alignment horizontal="left" vertical="center" wrapText="1"/>
    </xf>
    <xf numFmtId="167" fontId="17" fillId="0" borderId="1" xfId="0" applyNumberFormat="1" applyFont="1" applyBorder="1" applyAlignment="1">
      <alignment horizontal="left" vertical="center" wrapText="1"/>
    </xf>
    <xf numFmtId="0" fontId="13" fillId="0" borderId="1" xfId="91" quotePrefix="1" applyFont="1" applyBorder="1" applyAlignment="1">
      <alignment horizontal="left" vertical="center" wrapText="1"/>
    </xf>
    <xf numFmtId="3" fontId="170" fillId="0" borderId="1" xfId="0" applyNumberFormat="1" applyFont="1" applyBorder="1"/>
    <xf numFmtId="0" fontId="170" fillId="0" borderId="1" xfId="0" applyFont="1" applyBorder="1"/>
    <xf numFmtId="0" fontId="171" fillId="0" borderId="1" xfId="0" applyFont="1" applyBorder="1"/>
    <xf numFmtId="3" fontId="171" fillId="0" borderId="1" xfId="0" applyNumberFormat="1" applyFont="1" applyBorder="1"/>
    <xf numFmtId="183" fontId="151" fillId="0" borderId="21" xfId="0" applyNumberFormat="1" applyFont="1" applyBorder="1" applyAlignment="1">
      <alignment horizontal="right" vertical="center"/>
    </xf>
    <xf numFmtId="0" fontId="17" fillId="26" borderId="1" xfId="0" applyFont="1" applyFill="1" applyBorder="1" applyAlignment="1">
      <alignment horizontal="center" vertical="center" wrapText="1"/>
    </xf>
    <xf numFmtId="0" fontId="17" fillId="26" borderId="1" xfId="0" applyFont="1" applyFill="1" applyBorder="1" applyAlignment="1">
      <alignment vertical="center" wrapText="1"/>
    </xf>
    <xf numFmtId="183" fontId="17" fillId="26" borderId="1" xfId="0" applyNumberFormat="1" applyFont="1" applyFill="1" applyBorder="1" applyAlignment="1">
      <alignment horizontal="right" vertical="center" wrapText="1"/>
    </xf>
    <xf numFmtId="183" fontId="40" fillId="26" borderId="1" xfId="0" applyNumberFormat="1" applyFont="1" applyFill="1" applyBorder="1" applyAlignment="1">
      <alignment horizontal="right" vertical="center" wrapText="1"/>
    </xf>
    <xf numFmtId="3" fontId="40" fillId="26" borderId="1" xfId="0" applyNumberFormat="1" applyFont="1" applyFill="1" applyBorder="1" applyAlignment="1">
      <alignment horizontal="right" vertical="center" wrapText="1"/>
    </xf>
    <xf numFmtId="0" fontId="17" fillId="26" borderId="0" xfId="0" applyFont="1" applyFill="1" applyAlignment="1">
      <alignment vertical="center" wrapText="1"/>
    </xf>
    <xf numFmtId="183" fontId="154" fillId="0" borderId="6" xfId="0" applyNumberFormat="1" applyFont="1" applyBorder="1" applyAlignment="1">
      <alignment horizontal="right" vertical="center" wrapText="1"/>
    </xf>
    <xf numFmtId="183" fontId="154" fillId="0" borderId="6" xfId="10" applyNumberFormat="1" applyFont="1" applyFill="1" applyBorder="1" applyAlignment="1">
      <alignment horizontal="right" vertical="center" wrapText="1"/>
    </xf>
    <xf numFmtId="183" fontId="154" fillId="0" borderId="7" xfId="10" applyNumberFormat="1" applyFont="1" applyFill="1" applyBorder="1" applyAlignment="1">
      <alignment horizontal="right" vertical="center" wrapText="1"/>
    </xf>
    <xf numFmtId="183" fontId="154" fillId="3" borderId="7" xfId="10" applyNumberFormat="1" applyFont="1" applyFill="1" applyBorder="1" applyAlignment="1">
      <alignment horizontal="right" vertical="center" wrapText="1"/>
    </xf>
    <xf numFmtId="183" fontId="154" fillId="0" borderId="7" xfId="70" applyNumberFormat="1" applyFont="1" applyFill="1" applyBorder="1" applyAlignment="1">
      <alignment wrapText="1"/>
    </xf>
    <xf numFmtId="183" fontId="154" fillId="0" borderId="8" xfId="0" applyNumberFormat="1" applyFont="1" applyBorder="1" applyAlignment="1">
      <alignment horizontal="right" vertical="center" wrapText="1"/>
    </xf>
    <xf numFmtId="183" fontId="154" fillId="3" borderId="8" xfId="0" applyNumberFormat="1" applyFont="1" applyFill="1" applyBorder="1"/>
    <xf numFmtId="183" fontId="154" fillId="0" borderId="8" xfId="0" applyNumberFormat="1" applyFont="1" applyBorder="1"/>
    <xf numFmtId="183" fontId="154" fillId="0" borderId="8" xfId="10" applyNumberFormat="1" applyFont="1" applyFill="1" applyBorder="1" applyAlignment="1">
      <alignment horizontal="right" vertical="center" wrapText="1"/>
    </xf>
    <xf numFmtId="262" fontId="151" fillId="0" borderId="0" xfId="0" applyNumberFormat="1" applyFont="1"/>
    <xf numFmtId="183" fontId="152" fillId="0" borderId="7" xfId="0" applyNumberFormat="1" applyFont="1" applyBorder="1" applyAlignment="1">
      <alignment horizontal="right" vertical="center" wrapText="1"/>
    </xf>
    <xf numFmtId="183" fontId="134" fillId="3" borderId="1" xfId="0" applyNumberFormat="1" applyFont="1" applyFill="1" applyBorder="1" applyAlignment="1">
      <alignment horizontal="right" vertical="center" wrapText="1"/>
    </xf>
    <xf numFmtId="166" fontId="134" fillId="3" borderId="1" xfId="11" applyFont="1" applyFill="1" applyBorder="1" applyAlignment="1">
      <alignment horizontal="right" vertical="center" wrapText="1"/>
    </xf>
    <xf numFmtId="0" fontId="17" fillId="0" borderId="21" xfId="0" applyFont="1" applyBorder="1" applyAlignment="1">
      <alignment horizontal="center" vertical="center" wrapText="1"/>
    </xf>
    <xf numFmtId="0" fontId="17" fillId="0" borderId="21" xfId="0" applyFont="1" applyBorder="1" applyAlignment="1">
      <alignment vertical="center" wrapText="1"/>
    </xf>
    <xf numFmtId="183" fontId="17" fillId="0" borderId="21" xfId="0" applyNumberFormat="1" applyFont="1" applyBorder="1" applyAlignment="1">
      <alignment horizontal="right" vertical="center" wrapText="1"/>
    </xf>
    <xf numFmtId="183" fontId="40" fillId="0" borderId="21" xfId="0" applyNumberFormat="1" applyFont="1" applyBorder="1" applyAlignment="1">
      <alignment horizontal="right" vertical="center" wrapText="1"/>
    </xf>
    <xf numFmtId="174" fontId="80" fillId="0" borderId="7" xfId="10" applyNumberFormat="1" applyFont="1" applyBorder="1" applyAlignment="1">
      <alignment horizontal="center" vertical="center" wrapText="1"/>
    </xf>
    <xf numFmtId="165" fontId="80" fillId="3" borderId="8" xfId="10" applyFont="1" applyFill="1" applyBorder="1" applyAlignment="1">
      <alignment horizontal="center" vertical="center" wrapText="1"/>
    </xf>
    <xf numFmtId="183" fontId="17" fillId="0" borderId="9" xfId="11" applyNumberFormat="1" applyFont="1" applyFill="1" applyBorder="1" applyAlignment="1">
      <alignment horizontal="right" vertical="center" wrapText="1"/>
    </xf>
    <xf numFmtId="183" fontId="17" fillId="0" borderId="9" xfId="0" applyNumberFormat="1" applyFont="1" applyBorder="1" applyAlignment="1">
      <alignment horizontal="left" vertical="center" wrapText="1"/>
    </xf>
    <xf numFmtId="183" fontId="17" fillId="0" borderId="9" xfId="0" applyNumberFormat="1" applyFont="1" applyBorder="1" applyAlignment="1">
      <alignment horizontal="right" vertical="center" wrapText="1"/>
    </xf>
    <xf numFmtId="166" fontId="17" fillId="0" borderId="9" xfId="11" applyFont="1" applyFill="1" applyBorder="1" applyAlignment="1">
      <alignment horizontal="right" vertical="center" wrapText="1"/>
    </xf>
    <xf numFmtId="183" fontId="17" fillId="0" borderId="7" xfId="0" applyNumberFormat="1" applyFont="1" applyBorder="1" applyAlignment="1">
      <alignment horizontal="left" vertical="center" wrapText="1"/>
    </xf>
    <xf numFmtId="166" fontId="17" fillId="0" borderId="7" xfId="11" applyFont="1" applyFill="1" applyBorder="1" applyAlignment="1">
      <alignment horizontal="right" vertical="center" wrapText="1"/>
    </xf>
    <xf numFmtId="183" fontId="17" fillId="0" borderId="15" xfId="11" applyNumberFormat="1" applyFont="1" applyFill="1" applyBorder="1" applyAlignment="1">
      <alignment horizontal="right" vertical="center" wrapText="1"/>
    </xf>
    <xf numFmtId="183" fontId="17" fillId="0" borderId="15" xfId="0" applyNumberFormat="1" applyFont="1" applyBorder="1" applyAlignment="1">
      <alignment horizontal="left" vertical="center" wrapText="1"/>
    </xf>
    <xf numFmtId="166" fontId="17" fillId="0" borderId="15" xfId="11" applyFont="1" applyFill="1" applyBorder="1" applyAlignment="1">
      <alignment horizontal="right" vertical="center" wrapText="1"/>
    </xf>
    <xf numFmtId="183" fontId="17" fillId="0" borderId="15" xfId="0" applyNumberFormat="1" applyFont="1" applyBorder="1" applyAlignment="1">
      <alignment horizontal="right" vertical="center" wrapText="1"/>
    </xf>
    <xf numFmtId="183" fontId="10" fillId="0" borderId="1" xfId="11" applyNumberFormat="1" applyFont="1" applyFill="1" applyBorder="1" applyAlignment="1">
      <alignment horizontal="right" vertical="center" wrapText="1"/>
    </xf>
    <xf numFmtId="166" fontId="10" fillId="0" borderId="1" xfId="11" applyFont="1" applyFill="1" applyBorder="1" applyAlignment="1">
      <alignment vertical="center" wrapText="1"/>
    </xf>
    <xf numFmtId="183" fontId="185" fillId="0" borderId="8" xfId="0" applyNumberFormat="1" applyFont="1" applyBorder="1" applyAlignment="1">
      <alignment horizontal="right" vertical="center" wrapText="1"/>
    </xf>
    <xf numFmtId="3" fontId="111" fillId="0" borderId="0" xfId="0" applyNumberFormat="1" applyFont="1"/>
    <xf numFmtId="3" fontId="111" fillId="25" borderId="0" xfId="0" applyNumberFormat="1" applyFont="1" applyFill="1" applyAlignment="1">
      <alignment horizontal="right" vertical="center" wrapText="1"/>
    </xf>
    <xf numFmtId="0" fontId="17" fillId="0" borderId="1" xfId="0" applyFont="1" applyBorder="1" applyAlignment="1">
      <alignment horizontal="justify" vertical="center" wrapText="1"/>
    </xf>
    <xf numFmtId="0" fontId="10" fillId="0" borderId="1" xfId="0" applyFont="1" applyBorder="1" applyAlignment="1">
      <alignment horizontal="justify" vertical="center" wrapText="1"/>
    </xf>
    <xf numFmtId="177" fontId="10" fillId="0" borderId="1" xfId="10" applyNumberFormat="1" applyFont="1" applyBorder="1" applyAlignment="1">
      <alignment horizontal="center" vertical="center" wrapText="1"/>
    </xf>
    <xf numFmtId="0" fontId="17" fillId="26" borderId="0" xfId="0" applyFont="1" applyFill="1"/>
    <xf numFmtId="166" fontId="10" fillId="0" borderId="0" xfId="11" applyFont="1"/>
    <xf numFmtId="208" fontId="10" fillId="0" borderId="0" xfId="11" applyNumberFormat="1" applyFont="1"/>
    <xf numFmtId="233" fontId="10" fillId="0" borderId="0" xfId="0" applyNumberFormat="1" applyFont="1"/>
    <xf numFmtId="167" fontId="10" fillId="0" borderId="1" xfId="10" applyNumberFormat="1" applyFont="1" applyFill="1" applyBorder="1" applyAlignment="1">
      <alignment horizontal="center" vertical="center" wrapText="1"/>
    </xf>
    <xf numFmtId="177" fontId="17" fillId="0" borderId="1" xfId="10" applyNumberFormat="1" applyFont="1" applyBorder="1" applyAlignment="1">
      <alignment horizontal="center" vertical="center" wrapText="1"/>
    </xf>
    <xf numFmtId="184" fontId="17" fillId="0" borderId="0" xfId="11" applyNumberFormat="1" applyFont="1"/>
    <xf numFmtId="209" fontId="17" fillId="0" borderId="0" xfId="0" applyNumberFormat="1" applyFont="1"/>
    <xf numFmtId="176" fontId="17" fillId="3" borderId="0" xfId="129" applyNumberFormat="1" applyFont="1" applyFill="1" applyBorder="1" applyAlignment="1">
      <alignment horizontal="right" vertical="center" wrapText="1"/>
    </xf>
    <xf numFmtId="196" fontId="17" fillId="0" borderId="0" xfId="0" applyNumberFormat="1" applyFont="1"/>
    <xf numFmtId="3" fontId="10" fillId="0" borderId="0" xfId="102" applyNumberFormat="1" applyFont="1" applyAlignment="1">
      <alignment horizontal="right" vertical="center" wrapText="1"/>
    </xf>
    <xf numFmtId="3" fontId="17" fillId="0" borderId="1" xfId="10" applyNumberFormat="1" applyFont="1" applyFill="1" applyBorder="1" applyAlignment="1">
      <alignment horizontal="center" vertical="center" wrapText="1"/>
    </xf>
    <xf numFmtId="177" fontId="10" fillId="0" borderId="1" xfId="10" applyNumberFormat="1" applyFont="1" applyBorder="1" applyAlignment="1">
      <alignment horizontal="center" vertical="center"/>
    </xf>
    <xf numFmtId="177" fontId="17" fillId="0" borderId="1" xfId="10" applyNumberFormat="1" applyFont="1" applyBorder="1" applyAlignment="1">
      <alignment horizontal="center" vertical="center"/>
    </xf>
    <xf numFmtId="0" fontId="10" fillId="0" borderId="1" xfId="0" applyFont="1" applyBorder="1" applyAlignment="1">
      <alignment horizontal="center"/>
    </xf>
    <xf numFmtId="177" fontId="17" fillId="0" borderId="1" xfId="10" applyNumberFormat="1" applyFont="1" applyBorder="1" applyAlignment="1">
      <alignment vertical="center" wrapText="1"/>
    </xf>
    <xf numFmtId="3" fontId="47" fillId="0" borderId="0" xfId="0" applyNumberFormat="1" applyFont="1" applyAlignment="1">
      <alignment horizontal="center"/>
    </xf>
    <xf numFmtId="3" fontId="47" fillId="0" borderId="0" xfId="10" applyNumberFormat="1" applyFont="1" applyFill="1" applyAlignment="1">
      <alignment horizontal="center"/>
    </xf>
    <xf numFmtId="3" fontId="10" fillId="0" borderId="1" xfId="10" applyNumberFormat="1" applyFont="1" applyBorder="1" applyAlignment="1">
      <alignment horizontal="center" vertical="center" wrapText="1"/>
    </xf>
    <xf numFmtId="3" fontId="10" fillId="0" borderId="1" xfId="10" applyNumberFormat="1" applyFont="1" applyFill="1" applyBorder="1" applyAlignment="1">
      <alignment horizontal="center" vertical="center" wrapText="1"/>
    </xf>
    <xf numFmtId="3" fontId="17" fillId="0" borderId="1" xfId="10" applyNumberFormat="1" applyFont="1" applyBorder="1" applyAlignment="1">
      <alignment horizontal="center" vertical="center" wrapText="1"/>
    </xf>
    <xf numFmtId="3" fontId="17" fillId="0" borderId="1" xfId="10" applyNumberFormat="1" applyFont="1" applyBorder="1" applyAlignment="1">
      <alignment horizontal="right" vertical="center" wrapText="1"/>
    </xf>
    <xf numFmtId="3" fontId="17" fillId="0" borderId="1" xfId="11" applyNumberFormat="1" applyFont="1" applyBorder="1" applyAlignment="1">
      <alignment horizontal="right"/>
    </xf>
    <xf numFmtId="3" fontId="47" fillId="0" borderId="0" xfId="10" applyNumberFormat="1" applyFont="1"/>
    <xf numFmtId="3" fontId="17" fillId="0" borderId="1" xfId="10" applyNumberFormat="1" applyFont="1" applyFill="1" applyBorder="1" applyAlignment="1">
      <alignment horizontal="right" vertical="center" wrapText="1"/>
    </xf>
    <xf numFmtId="3" fontId="10" fillId="0" borderId="1" xfId="10" applyNumberFormat="1" applyFont="1" applyFill="1" applyBorder="1" applyAlignment="1">
      <alignment horizontal="right" vertical="center" wrapText="1"/>
    </xf>
    <xf numFmtId="3" fontId="17" fillId="0" borderId="1" xfId="0" applyNumberFormat="1" applyFont="1" applyBorder="1" applyAlignment="1">
      <alignment horizontal="right" vertical="center" wrapText="1"/>
    </xf>
    <xf numFmtId="3" fontId="10" fillId="0" borderId="1" xfId="0" applyNumberFormat="1" applyFont="1" applyBorder="1" applyAlignment="1">
      <alignment horizontal="right" vertical="center"/>
    </xf>
    <xf numFmtId="3" fontId="10" fillId="0" borderId="1" xfId="10" applyNumberFormat="1" applyFont="1" applyFill="1" applyBorder="1" applyAlignment="1">
      <alignment horizontal="right" vertical="center"/>
    </xf>
    <xf numFmtId="3" fontId="10" fillId="0" borderId="1" xfId="11" applyNumberFormat="1" applyFont="1" applyBorder="1" applyAlignment="1">
      <alignment horizontal="right" vertical="center"/>
    </xf>
    <xf numFmtId="3" fontId="17" fillId="0" borderId="1" xfId="10" applyNumberFormat="1" applyFont="1" applyFill="1" applyBorder="1" applyAlignment="1">
      <alignment horizontal="right"/>
    </xf>
    <xf numFmtId="3" fontId="10" fillId="0" borderId="1" xfId="0" applyNumberFormat="1" applyFont="1" applyBorder="1" applyAlignment="1">
      <alignment horizontal="right"/>
    </xf>
    <xf numFmtId="3" fontId="10" fillId="0" borderId="1" xfId="10" applyNumberFormat="1" applyFont="1" applyFill="1" applyBorder="1" applyAlignment="1">
      <alignment horizontal="right"/>
    </xf>
    <xf numFmtId="3" fontId="10" fillId="0" borderId="1" xfId="10" applyNumberFormat="1" applyFont="1" applyBorder="1" applyAlignment="1">
      <alignment horizontal="right"/>
    </xf>
    <xf numFmtId="183" fontId="10" fillId="0" borderId="1" xfId="0" applyNumberFormat="1" applyFont="1" applyBorder="1" applyAlignment="1">
      <alignment horizontal="right" vertical="center"/>
    </xf>
    <xf numFmtId="183" fontId="17" fillId="0" borderId="1" xfId="10" applyNumberFormat="1" applyFont="1" applyBorder="1" applyAlignment="1">
      <alignment horizontal="right" vertical="center" wrapText="1"/>
    </xf>
    <xf numFmtId="183" fontId="10" fillId="0" borderId="1" xfId="10" applyNumberFormat="1" applyFont="1" applyBorder="1" applyAlignment="1">
      <alignment horizontal="right"/>
    </xf>
    <xf numFmtId="183" fontId="47" fillId="0" borderId="0" xfId="0" applyNumberFormat="1" applyFont="1" applyAlignment="1">
      <alignment wrapText="1"/>
    </xf>
    <xf numFmtId="166" fontId="154" fillId="3" borderId="7" xfId="11" applyFont="1" applyFill="1" applyBorder="1" applyAlignment="1">
      <alignment horizontal="right" vertical="center" wrapText="1"/>
    </xf>
    <xf numFmtId="166" fontId="154" fillId="3" borderId="8" xfId="11" applyFont="1" applyFill="1" applyBorder="1" applyAlignment="1">
      <alignment horizontal="right" vertical="center" wrapText="1"/>
    </xf>
    <xf numFmtId="183" fontId="47" fillId="0" borderId="7" xfId="0" applyNumberFormat="1" applyFont="1" applyBorder="1"/>
    <xf numFmtId="183" fontId="50" fillId="0" borderId="7" xfId="10" applyNumberFormat="1" applyFont="1" applyBorder="1" applyAlignment="1">
      <alignment horizontal="center" vertical="center" wrapText="1"/>
    </xf>
    <xf numFmtId="183" fontId="138" fillId="0" borderId="1" xfId="10" applyNumberFormat="1" applyFont="1" applyFill="1" applyBorder="1" applyAlignment="1">
      <alignment horizontal="right" vertical="center" wrapText="1"/>
    </xf>
    <xf numFmtId="183" fontId="178" fillId="0" borderId="1" xfId="10" applyNumberFormat="1" applyFont="1" applyFill="1" applyBorder="1" applyAlignment="1">
      <alignment horizontal="right" vertical="center" wrapText="1"/>
    </xf>
    <xf numFmtId="183" fontId="138" fillId="0" borderId="15" xfId="0" applyNumberFormat="1" applyFont="1" applyBorder="1" applyAlignment="1">
      <alignment horizontal="right" vertical="center" wrapText="1"/>
    </xf>
    <xf numFmtId="183" fontId="138" fillId="0" borderId="15" xfId="10" applyNumberFormat="1" applyFont="1" applyFill="1" applyBorder="1" applyAlignment="1">
      <alignment horizontal="right" vertical="center" wrapText="1"/>
    </xf>
    <xf numFmtId="183" fontId="178" fillId="0" borderId="15" xfId="10" applyNumberFormat="1" applyFont="1" applyBorder="1" applyAlignment="1">
      <alignment horizontal="right" vertical="center" wrapText="1"/>
    </xf>
    <xf numFmtId="49" fontId="55" fillId="0" borderId="15" xfId="0" applyNumberFormat="1" applyFont="1" applyBorder="1" applyAlignment="1">
      <alignment horizontal="center" vertical="center" wrapText="1"/>
    </xf>
    <xf numFmtId="183" fontId="55" fillId="0" borderId="15" xfId="0" applyNumberFormat="1" applyFont="1" applyBorder="1" applyAlignment="1">
      <alignment horizontal="center" vertical="center" wrapText="1"/>
    </xf>
    <xf numFmtId="49" fontId="55" fillId="0" borderId="15" xfId="10" applyNumberFormat="1" applyFont="1" applyBorder="1" applyAlignment="1">
      <alignment horizontal="center" vertical="center" wrapText="1"/>
    </xf>
    <xf numFmtId="183" fontId="55" fillId="0" borderId="15" xfId="10" applyNumberFormat="1" applyFont="1" applyBorder="1" applyAlignment="1">
      <alignment horizontal="center" vertical="center" wrapText="1"/>
    </xf>
    <xf numFmtId="3" fontId="138" fillId="0" borderId="9" xfId="0" applyNumberFormat="1" applyFont="1" applyBorder="1" applyAlignment="1">
      <alignment horizontal="right" vertical="center" wrapText="1"/>
    </xf>
    <xf numFmtId="183" fontId="138" fillId="0" borderId="9" xfId="11" applyNumberFormat="1" applyFont="1" applyBorder="1" applyAlignment="1">
      <alignment horizontal="right" vertical="center" wrapText="1"/>
    </xf>
    <xf numFmtId="183" fontId="178" fillId="0" borderId="9" xfId="11" applyNumberFormat="1" applyFont="1" applyBorder="1" applyAlignment="1">
      <alignment horizontal="right" vertical="center" wrapText="1"/>
    </xf>
    <xf numFmtId="166" fontId="138" fillId="0" borderId="9" xfId="11" applyFont="1" applyBorder="1" applyAlignment="1">
      <alignment horizontal="right" vertical="center" wrapText="1"/>
    </xf>
    <xf numFmtId="3" fontId="138" fillId="0" borderId="1" xfId="0" applyNumberFormat="1" applyFont="1" applyBorder="1" applyAlignment="1">
      <alignment horizontal="right" vertical="center" wrapText="1"/>
    </xf>
    <xf numFmtId="183" fontId="138" fillId="0" borderId="1" xfId="11" applyNumberFormat="1" applyFont="1" applyBorder="1" applyAlignment="1">
      <alignment horizontal="right" vertical="center" wrapText="1"/>
    </xf>
    <xf numFmtId="183" fontId="178" fillId="0" borderId="1" xfId="11" applyNumberFormat="1" applyFont="1" applyBorder="1" applyAlignment="1">
      <alignment horizontal="right" vertical="center" wrapText="1"/>
    </xf>
    <xf numFmtId="0" fontId="161" fillId="0" borderId="1" xfId="0" applyFont="1" applyBorder="1" applyAlignment="1">
      <alignment vertical="center"/>
    </xf>
    <xf numFmtId="0" fontId="163" fillId="0" borderId="1" xfId="0" applyFont="1" applyBorder="1" applyAlignment="1">
      <alignment horizontal="left" vertical="center" wrapText="1"/>
    </xf>
    <xf numFmtId="0" fontId="163" fillId="0" borderId="1" xfId="0" applyFont="1" applyBorder="1" applyAlignment="1">
      <alignment horizontal="left" vertical="center"/>
    </xf>
    <xf numFmtId="0" fontId="160" fillId="0" borderId="1" xfId="0" applyFont="1" applyBorder="1" applyAlignment="1">
      <alignment horizontal="center" vertical="center"/>
    </xf>
    <xf numFmtId="166" fontId="116" fillId="0" borderId="0" xfId="11" applyFont="1" applyAlignment="1">
      <alignment vertical="center"/>
    </xf>
    <xf numFmtId="166" fontId="109" fillId="0" borderId="0" xfId="11" applyFont="1" applyAlignment="1">
      <alignment vertical="center"/>
    </xf>
    <xf numFmtId="166" fontId="135" fillId="0" borderId="1" xfId="11" applyFont="1" applyBorder="1" applyAlignment="1">
      <alignment horizontal="center" vertical="center" wrapText="1"/>
    </xf>
    <xf numFmtId="166" fontId="56" fillId="0" borderId="0" xfId="11" applyFont="1"/>
    <xf numFmtId="49" fontId="38" fillId="0" borderId="1" xfId="11" applyNumberFormat="1" applyFont="1" applyBorder="1" applyAlignment="1">
      <alignment horizontal="center" vertical="center" wrapText="1"/>
    </xf>
    <xf numFmtId="49" fontId="15" fillId="0" borderId="1" xfId="11" applyNumberFormat="1" applyFont="1" applyBorder="1" applyAlignment="1">
      <alignment horizontal="center" vertical="center" wrapText="1"/>
    </xf>
    <xf numFmtId="49" fontId="133" fillId="0" borderId="1" xfId="11" applyNumberFormat="1" applyFont="1" applyBorder="1" applyAlignment="1">
      <alignment horizontal="center" vertical="center" wrapText="1"/>
    </xf>
    <xf numFmtId="3" fontId="50" fillId="0" borderId="7" xfId="4" applyNumberFormat="1" applyFont="1" applyBorder="1" applyAlignment="1">
      <alignment horizontal="center" vertical="center" wrapText="1"/>
    </xf>
    <xf numFmtId="167" fontId="50" fillId="0" borderId="7" xfId="4" applyNumberFormat="1" applyFont="1" applyBorder="1" applyAlignment="1">
      <alignment vertical="center" wrapText="1"/>
    </xf>
    <xf numFmtId="167" fontId="50" fillId="0" borderId="7" xfId="4" applyNumberFormat="1" applyFont="1" applyBorder="1" applyAlignment="1">
      <alignment vertical="center"/>
    </xf>
    <xf numFmtId="166" fontId="50" fillId="0" borderId="7" xfId="11" applyFont="1" applyBorder="1" applyAlignment="1">
      <alignment vertical="center"/>
    </xf>
    <xf numFmtId="167" fontId="50" fillId="0" borderId="0" xfId="4" applyNumberFormat="1" applyFont="1" applyAlignment="1">
      <alignment vertical="center"/>
    </xf>
    <xf numFmtId="0" fontId="50" fillId="0" borderId="0" xfId="4" applyFont="1" applyAlignment="1">
      <alignment vertical="center"/>
    </xf>
    <xf numFmtId="3" fontId="50" fillId="0" borderId="7" xfId="4" applyNumberFormat="1" applyFont="1" applyBorder="1" applyAlignment="1">
      <alignment horizontal="left" vertical="center" wrapText="1"/>
    </xf>
    <xf numFmtId="3" fontId="50" fillId="0" borderId="7" xfId="4" applyNumberFormat="1" applyFont="1" applyBorder="1" applyAlignment="1">
      <alignment vertical="center" wrapText="1"/>
    </xf>
    <xf numFmtId="167" fontId="186" fillId="0" borderId="0" xfId="4" applyNumberFormat="1" applyFont="1" applyAlignment="1">
      <alignment vertical="center"/>
    </xf>
    <xf numFmtId="0" fontId="186" fillId="0" borderId="0" xfId="4" applyFont="1" applyAlignment="1">
      <alignment vertical="center"/>
    </xf>
    <xf numFmtId="3" fontId="47" fillId="0" borderId="7" xfId="4" quotePrefix="1" applyNumberFormat="1" applyFont="1" applyBorder="1" applyAlignment="1">
      <alignment horizontal="center" vertical="center" wrapText="1"/>
    </xf>
    <xf numFmtId="3" fontId="47" fillId="0" borderId="7" xfId="4" applyNumberFormat="1" applyFont="1" applyBorder="1" applyAlignment="1">
      <alignment vertical="center" wrapText="1"/>
    </xf>
    <xf numFmtId="167" fontId="47" fillId="0" borderId="7" xfId="4" applyNumberFormat="1" applyFont="1" applyBorder="1" applyAlignment="1">
      <alignment vertical="center" wrapText="1"/>
    </xf>
    <xf numFmtId="167" fontId="47" fillId="0" borderId="7" xfId="4" applyNumberFormat="1" applyFont="1" applyBorder="1" applyAlignment="1">
      <alignment vertical="center"/>
    </xf>
    <xf numFmtId="166" fontId="47" fillId="0" borderId="7" xfId="11" applyFont="1" applyBorder="1" applyAlignment="1">
      <alignment vertical="center"/>
    </xf>
    <xf numFmtId="167" fontId="187" fillId="0" borderId="0" xfId="4" applyNumberFormat="1" applyFont="1" applyAlignment="1">
      <alignment vertical="center"/>
    </xf>
    <xf numFmtId="0" fontId="187" fillId="0" borderId="0" xfId="4" applyFont="1" applyAlignment="1">
      <alignment vertical="center"/>
    </xf>
    <xf numFmtId="3" fontId="47" fillId="0" borderId="7" xfId="4" applyNumberFormat="1" applyFont="1" applyBorder="1" applyAlignment="1">
      <alignment horizontal="center" vertical="center" wrapText="1"/>
    </xf>
    <xf numFmtId="167" fontId="55" fillId="0" borderId="0" xfId="4" applyNumberFormat="1" applyFont="1" applyAlignment="1">
      <alignment vertical="center"/>
    </xf>
    <xf numFmtId="0" fontId="55" fillId="0" borderId="0" xfId="4" applyFont="1" applyAlignment="1">
      <alignment vertical="center"/>
    </xf>
    <xf numFmtId="3" fontId="50" fillId="0" borderId="7" xfId="0" applyNumberFormat="1" applyFont="1" applyBorder="1" applyAlignment="1">
      <alignment vertical="center" wrapText="1"/>
    </xf>
    <xf numFmtId="0" fontId="55" fillId="0" borderId="7" xfId="1" applyFont="1" applyFill="1" applyBorder="1" applyAlignment="1">
      <alignment vertical="center" wrapText="1"/>
    </xf>
    <xf numFmtId="3" fontId="55" fillId="0" borderId="8" xfId="0" applyNumberFormat="1" applyFont="1" applyBorder="1" applyAlignment="1">
      <alignment vertical="center" wrapText="1"/>
    </xf>
    <xf numFmtId="166" fontId="50" fillId="0" borderId="7" xfId="11" applyFont="1" applyBorder="1" applyAlignment="1">
      <alignment vertical="center" wrapText="1"/>
    </xf>
    <xf numFmtId="166" fontId="47" fillId="0" borderId="7" xfId="11" applyFont="1" applyBorder="1" applyAlignment="1">
      <alignment vertical="center" wrapText="1"/>
    </xf>
    <xf numFmtId="3" fontId="77" fillId="0" borderId="7" xfId="4" applyNumberFormat="1" applyFont="1" applyBorder="1" applyAlignment="1">
      <alignment horizontal="center" vertical="center" wrapText="1"/>
    </xf>
    <xf numFmtId="3" fontId="77" fillId="0" borderId="7" xfId="4" applyNumberFormat="1" applyFont="1" applyBorder="1" applyAlignment="1">
      <alignment vertical="center" wrapText="1"/>
    </xf>
    <xf numFmtId="167" fontId="77" fillId="0" borderId="7" xfId="4" applyNumberFormat="1" applyFont="1" applyBorder="1" applyAlignment="1">
      <alignment vertical="center" wrapText="1"/>
    </xf>
    <xf numFmtId="167" fontId="77" fillId="0" borderId="7" xfId="4" applyNumberFormat="1" applyFont="1" applyBorder="1" applyAlignment="1">
      <alignment vertical="center"/>
    </xf>
    <xf numFmtId="166" fontId="77" fillId="0" borderId="7" xfId="11" applyFont="1" applyBorder="1" applyAlignment="1">
      <alignment vertical="center" wrapText="1"/>
    </xf>
    <xf numFmtId="166" fontId="77" fillId="0" borderId="7" xfId="11" applyFont="1" applyBorder="1" applyAlignment="1">
      <alignment vertical="center"/>
    </xf>
    <xf numFmtId="167" fontId="77" fillId="0" borderId="0" xfId="4" applyNumberFormat="1" applyFont="1" applyAlignment="1">
      <alignment vertical="center"/>
    </xf>
    <xf numFmtId="0" fontId="77" fillId="0" borderId="0" xfId="4" applyFont="1" applyAlignment="1">
      <alignment vertical="center"/>
    </xf>
    <xf numFmtId="167" fontId="47" fillId="0" borderId="0" xfId="4" applyNumberFormat="1" applyFont="1" applyAlignment="1">
      <alignment vertical="center"/>
    </xf>
    <xf numFmtId="0" fontId="47" fillId="0" borderId="0" xfId="4" applyFont="1" applyAlignment="1">
      <alignment vertical="center"/>
    </xf>
    <xf numFmtId="3" fontId="55" fillId="0" borderId="7" xfId="4" quotePrefix="1" applyNumberFormat="1" applyFont="1" applyBorder="1" applyAlignment="1">
      <alignment horizontal="center" vertical="center" wrapText="1"/>
    </xf>
    <xf numFmtId="3" fontId="55" fillId="0" borderId="7" xfId="4" applyNumberFormat="1" applyFont="1" applyBorder="1" applyAlignment="1">
      <alignment vertical="center" wrapText="1"/>
    </xf>
    <xf numFmtId="167" fontId="55" fillId="0" borderId="7" xfId="4" applyNumberFormat="1" applyFont="1" applyBorder="1" applyAlignment="1">
      <alignment vertical="center" wrapText="1"/>
    </xf>
    <xf numFmtId="167" fontId="55" fillId="0" borderId="7" xfId="4" applyNumberFormat="1" applyFont="1" applyBorder="1" applyAlignment="1">
      <alignment vertical="center"/>
    </xf>
    <xf numFmtId="166" fontId="55" fillId="0" borderId="7" xfId="11" applyFont="1" applyBorder="1" applyAlignment="1">
      <alignment vertical="center" wrapText="1"/>
    </xf>
    <xf numFmtId="166" fontId="55" fillId="0" borderId="7" xfId="11" applyFont="1" applyBorder="1" applyAlignment="1">
      <alignment vertical="center"/>
    </xf>
    <xf numFmtId="0" fontId="55" fillId="0" borderId="0" xfId="4" applyFont="1" applyAlignment="1">
      <alignment vertical="center" wrapText="1"/>
    </xf>
    <xf numFmtId="3" fontId="55" fillId="0" borderId="7" xfId="4" applyNumberFormat="1" applyFont="1" applyBorder="1" applyAlignment="1">
      <alignment horizontal="center" vertical="center" wrapText="1"/>
    </xf>
    <xf numFmtId="0" fontId="73" fillId="0" borderId="7" xfId="0" applyFont="1" applyBorder="1" applyAlignment="1">
      <alignment vertical="center" wrapText="1"/>
    </xf>
    <xf numFmtId="167" fontId="188" fillId="0" borderId="0" xfId="0" applyNumberFormat="1" applyFont="1" applyAlignment="1">
      <alignment vertical="center"/>
    </xf>
    <xf numFmtId="167" fontId="118" fillId="0" borderId="7" xfId="4" applyNumberFormat="1" applyFont="1" applyBorder="1" applyAlignment="1">
      <alignment vertical="center" wrapText="1"/>
    </xf>
    <xf numFmtId="167" fontId="118" fillId="26" borderId="7" xfId="4" applyNumberFormat="1" applyFont="1" applyFill="1" applyBorder="1" applyAlignment="1">
      <alignment vertical="center" wrapText="1"/>
    </xf>
    <xf numFmtId="167" fontId="22" fillId="0" borderId="7" xfId="4" applyNumberFormat="1" applyFont="1" applyBorder="1" applyAlignment="1">
      <alignment vertical="center" wrapText="1"/>
    </xf>
    <xf numFmtId="3" fontId="47" fillId="26" borderId="7" xfId="4" applyNumberFormat="1" applyFont="1" applyFill="1" applyBorder="1" applyAlignment="1">
      <alignment horizontal="center" vertical="center" wrapText="1"/>
    </xf>
    <xf numFmtId="0" fontId="38" fillId="26" borderId="7" xfId="0" applyFont="1" applyFill="1" applyBorder="1" applyAlignment="1">
      <alignment horizontal="left" vertical="center" wrapText="1"/>
    </xf>
    <xf numFmtId="167" fontId="47" fillId="26" borderId="7" xfId="4" applyNumberFormat="1" applyFont="1" applyFill="1" applyBorder="1" applyAlignment="1">
      <alignment vertical="center" wrapText="1"/>
    </xf>
    <xf numFmtId="167" fontId="47" fillId="26" borderId="7" xfId="4" applyNumberFormat="1" applyFont="1" applyFill="1" applyBorder="1" applyAlignment="1">
      <alignment vertical="center"/>
    </xf>
    <xf numFmtId="166" fontId="47" fillId="26" borderId="7" xfId="11" applyFont="1" applyFill="1" applyBorder="1" applyAlignment="1">
      <alignment vertical="center"/>
    </xf>
    <xf numFmtId="167" fontId="22" fillId="26" borderId="7" xfId="4" applyNumberFormat="1" applyFont="1" applyFill="1" applyBorder="1" applyAlignment="1">
      <alignment vertical="center"/>
    </xf>
    <xf numFmtId="167" fontId="47" fillId="26" borderId="0" xfId="4" applyNumberFormat="1" applyFont="1" applyFill="1" applyAlignment="1">
      <alignment vertical="center"/>
    </xf>
    <xf numFmtId="0" fontId="47" fillId="26" borderId="0" xfId="4" applyFont="1" applyFill="1" applyAlignment="1">
      <alignment vertical="center"/>
    </xf>
    <xf numFmtId="3" fontId="189" fillId="0" borderId="7" xfId="4" applyNumberFormat="1" applyFont="1" applyBorder="1" applyAlignment="1">
      <alignment horizontal="center" vertical="center" wrapText="1"/>
    </xf>
    <xf numFmtId="3" fontId="189" fillId="3" borderId="7" xfId="83" applyNumberFormat="1" applyFont="1" applyFill="1" applyBorder="1" applyAlignment="1">
      <alignment horizontal="justify" vertical="center" wrapText="1"/>
    </xf>
    <xf numFmtId="167" fontId="189" fillId="0" borderId="7" xfId="4" applyNumberFormat="1" applyFont="1" applyBorder="1" applyAlignment="1">
      <alignment vertical="center" wrapText="1"/>
    </xf>
    <xf numFmtId="167" fontId="189" fillId="0" borderId="7" xfId="4" applyNumberFormat="1" applyFont="1" applyBorder="1" applyAlignment="1">
      <alignment vertical="center"/>
    </xf>
    <xf numFmtId="166" fontId="189" fillId="0" borderId="7" xfId="11" applyFont="1" applyBorder="1" applyAlignment="1">
      <alignment vertical="center"/>
    </xf>
    <xf numFmtId="167" fontId="189" fillId="0" borderId="0" xfId="4" applyNumberFormat="1" applyFont="1" applyAlignment="1">
      <alignment vertical="center"/>
    </xf>
    <xf numFmtId="0" fontId="189" fillId="0" borderId="0" xfId="4" applyFont="1" applyAlignment="1">
      <alignment vertical="center"/>
    </xf>
    <xf numFmtId="3" fontId="189" fillId="3" borderId="7" xfId="0" applyNumberFormat="1" applyFont="1" applyFill="1" applyBorder="1" applyAlignment="1">
      <alignment horizontal="justify" vertical="center"/>
    </xf>
    <xf numFmtId="3" fontId="189" fillId="0" borderId="7" xfId="4" applyNumberFormat="1" applyFont="1" applyBorder="1" applyAlignment="1">
      <alignment horizontal="left" vertical="center" wrapText="1"/>
    </xf>
    <xf numFmtId="167" fontId="189" fillId="0" borderId="7" xfId="4" applyNumberFormat="1" applyFont="1" applyBorder="1" applyAlignment="1">
      <alignment horizontal="left" vertical="center" wrapText="1"/>
    </xf>
    <xf numFmtId="167" fontId="189" fillId="0" borderId="7" xfId="4" applyNumberFormat="1" applyFont="1" applyBorder="1" applyAlignment="1">
      <alignment horizontal="left" vertical="center"/>
    </xf>
    <xf numFmtId="166" fontId="189" fillId="0" borderId="7" xfId="11" applyFont="1" applyFill="1" applyBorder="1" applyAlignment="1">
      <alignment horizontal="left" vertical="center"/>
    </xf>
    <xf numFmtId="183" fontId="189" fillId="0" borderId="7" xfId="0" applyNumberFormat="1" applyFont="1" applyBorder="1" applyAlignment="1">
      <alignment horizontal="left" vertical="center" wrapText="1"/>
    </xf>
    <xf numFmtId="167" fontId="189" fillId="0" borderId="0" xfId="4" applyNumberFormat="1" applyFont="1" applyAlignment="1">
      <alignment horizontal="left" vertical="center"/>
    </xf>
    <xf numFmtId="0" fontId="189" fillId="0" borderId="0" xfId="4" applyFont="1" applyAlignment="1">
      <alignment horizontal="left" vertical="center"/>
    </xf>
    <xf numFmtId="166" fontId="47" fillId="0" borderId="7" xfId="11" applyFont="1" applyFill="1" applyBorder="1" applyAlignment="1">
      <alignment vertical="center"/>
    </xf>
    <xf numFmtId="167" fontId="22" fillId="0" borderId="7" xfId="4" applyNumberFormat="1" applyFont="1" applyBorder="1" applyAlignment="1">
      <alignment vertical="center"/>
    </xf>
    <xf numFmtId="0" fontId="189" fillId="0" borderId="1" xfId="41" applyFont="1" applyBorder="1" applyAlignment="1">
      <alignment horizontal="left" vertical="center" wrapText="1"/>
    </xf>
    <xf numFmtId="0" fontId="189" fillId="0" borderId="1" xfId="0" applyFont="1" applyBorder="1" applyAlignment="1">
      <alignment horizontal="left" vertical="center" wrapText="1"/>
    </xf>
    <xf numFmtId="3" fontId="190" fillId="0" borderId="7" xfId="4" applyNumberFormat="1" applyFont="1" applyBorder="1" applyAlignment="1">
      <alignment horizontal="center" vertical="center" wrapText="1"/>
    </xf>
    <xf numFmtId="0" fontId="190" fillId="0" borderId="1" xfId="0" applyFont="1" applyBorder="1" applyAlignment="1">
      <alignment horizontal="left" vertical="center" wrapText="1"/>
    </xf>
    <xf numFmtId="167" fontId="190" fillId="0" borderId="7" xfId="4" applyNumberFormat="1" applyFont="1" applyBorder="1" applyAlignment="1">
      <alignment vertical="center" wrapText="1"/>
    </xf>
    <xf numFmtId="167" fontId="190" fillId="0" borderId="7" xfId="4" applyNumberFormat="1" applyFont="1" applyBorder="1" applyAlignment="1">
      <alignment vertical="center"/>
    </xf>
    <xf numFmtId="166" fontId="190" fillId="0" borderId="7" xfId="11" applyFont="1" applyFill="1" applyBorder="1" applyAlignment="1">
      <alignment vertical="center"/>
    </xf>
    <xf numFmtId="183" fontId="15" fillId="0" borderId="0" xfId="0" applyNumberFormat="1" applyFont="1" applyAlignment="1">
      <alignment horizontal="right"/>
    </xf>
    <xf numFmtId="0" fontId="37" fillId="0" borderId="0" xfId="0" applyFont="1" applyAlignment="1">
      <alignment horizontal="right"/>
    </xf>
    <xf numFmtId="0" fontId="38" fillId="0" borderId="0" xfId="0" applyFont="1" applyAlignment="1">
      <alignment wrapText="1"/>
    </xf>
    <xf numFmtId="189" fontId="38" fillId="0" borderId="0" xfId="0" applyNumberFormat="1" applyFont="1"/>
    <xf numFmtId="189" fontId="15" fillId="0" borderId="0" xfId="0" applyNumberFormat="1" applyFont="1" applyAlignment="1">
      <alignment horizontal="right"/>
    </xf>
    <xf numFmtId="0" fontId="72" fillId="0" borderId="1" xfId="0" applyFont="1" applyBorder="1"/>
    <xf numFmtId="0" fontId="47" fillId="0" borderId="1" xfId="0" applyFont="1" applyBorder="1" applyAlignment="1">
      <alignment wrapText="1"/>
    </xf>
    <xf numFmtId="193" fontId="22" fillId="0" borderId="0" xfId="0" applyNumberFormat="1" applyFont="1"/>
    <xf numFmtId="183" fontId="47" fillId="0" borderId="1" xfId="0" applyNumberFormat="1" applyFont="1" applyBorder="1" applyAlignment="1">
      <alignment wrapText="1"/>
    </xf>
    <xf numFmtId="193" fontId="22" fillId="26" borderId="0" xfId="0" applyNumberFormat="1" applyFont="1" applyFill="1"/>
    <xf numFmtId="193" fontId="47" fillId="26" borderId="0" xfId="0" applyNumberFormat="1" applyFont="1" applyFill="1"/>
    <xf numFmtId="0" fontId="52" fillId="0" borderId="1" xfId="0" applyFont="1" applyBorder="1" applyAlignment="1">
      <alignment horizontal="center"/>
    </xf>
    <xf numFmtId="183" fontId="50" fillId="0" borderId="1" xfId="0" applyNumberFormat="1" applyFont="1" applyBorder="1" applyAlignment="1">
      <alignment wrapText="1"/>
    </xf>
    <xf numFmtId="193" fontId="47" fillId="0" borderId="0" xfId="0" applyNumberFormat="1" applyFont="1" applyAlignment="1">
      <alignment wrapText="1"/>
    </xf>
    <xf numFmtId="183" fontId="8" fillId="0" borderId="0" xfId="0" applyNumberFormat="1" applyFont="1" applyAlignment="1">
      <alignment horizontal="right"/>
    </xf>
    <xf numFmtId="193" fontId="116" fillId="0" borderId="0" xfId="0" applyNumberFormat="1" applyFont="1" applyAlignment="1">
      <alignment vertical="center"/>
    </xf>
    <xf numFmtId="167" fontId="50" fillId="0" borderId="1" xfId="166" applyNumberFormat="1" applyFont="1" applyBorder="1" applyAlignment="1">
      <alignment horizontal="center" vertical="center" wrapText="1"/>
    </xf>
    <xf numFmtId="0" fontId="50" fillId="0" borderId="1" xfId="166" applyFont="1" applyBorder="1" applyAlignment="1">
      <alignment horizontal="center" vertical="center" wrapText="1"/>
    </xf>
    <xf numFmtId="0" fontId="47" fillId="0" borderId="1" xfId="166" applyFont="1" applyBorder="1" applyAlignment="1">
      <alignment horizontal="center" vertical="justify"/>
    </xf>
    <xf numFmtId="0" fontId="47" fillId="0" borderId="1" xfId="166" applyFont="1" applyBorder="1" applyAlignment="1">
      <alignment horizontal="center" vertical="center"/>
    </xf>
    <xf numFmtId="183" fontId="8" fillId="0" borderId="1" xfId="166" applyNumberFormat="1" applyFont="1" applyBorder="1" applyAlignment="1">
      <alignment horizontal="right" vertical="center"/>
    </xf>
    <xf numFmtId="167" fontId="47" fillId="0" borderId="1" xfId="166" applyNumberFormat="1" applyFont="1" applyBorder="1" applyAlignment="1">
      <alignment horizontal="center" vertical="center"/>
    </xf>
    <xf numFmtId="3" fontId="47" fillId="0" borderId="1" xfId="166" applyNumberFormat="1" applyFont="1" applyBorder="1" applyAlignment="1">
      <alignment horizontal="center" vertical="center"/>
    </xf>
    <xf numFmtId="0" fontId="72" fillId="0" borderId="1" xfId="166" applyFont="1" applyBorder="1" applyAlignment="1">
      <alignment horizontal="left" vertical="center"/>
    </xf>
    <xf numFmtId="183" fontId="47" fillId="0" borderId="1" xfId="0" applyNumberFormat="1" applyFont="1" applyBorder="1"/>
    <xf numFmtId="0" fontId="47" fillId="0" borderId="0" xfId="166" applyFont="1" applyAlignment="1">
      <alignment horizontal="left" vertical="center"/>
    </xf>
    <xf numFmtId="167" fontId="47" fillId="0" borderId="0" xfId="166" applyNumberFormat="1" applyFont="1" applyAlignment="1">
      <alignment horizontal="right" vertical="center"/>
    </xf>
    <xf numFmtId="259" fontId="114" fillId="0" borderId="0" xfId="11" applyNumberFormat="1" applyFont="1" applyAlignment="1">
      <alignment vertical="center"/>
    </xf>
    <xf numFmtId="4" fontId="189" fillId="0" borderId="7" xfId="4" applyNumberFormat="1" applyFont="1" applyBorder="1" applyAlignment="1">
      <alignment horizontal="left" vertical="center"/>
    </xf>
    <xf numFmtId="0" fontId="21" fillId="0" borderId="0" xfId="0" applyFont="1" applyAlignment="1">
      <alignment horizontal="center" vertical="center"/>
    </xf>
    <xf numFmtId="167" fontId="17" fillId="0" borderId="1" xfId="0" applyNumberFormat="1" applyFont="1" applyBorder="1" applyAlignment="1">
      <alignment horizontal="center" vertical="center" wrapText="1"/>
    </xf>
    <xf numFmtId="167" fontId="191" fillId="0" borderId="0" xfId="0" applyNumberFormat="1" applyFont="1" applyAlignment="1">
      <alignment vertical="center"/>
    </xf>
    <xf numFmtId="167" fontId="192" fillId="0" borderId="0" xfId="0" applyNumberFormat="1" applyFont="1"/>
    <xf numFmtId="167" fontId="178" fillId="0" borderId="7" xfId="4" applyNumberFormat="1" applyFont="1" applyBorder="1" applyAlignment="1">
      <alignment vertical="center"/>
    </xf>
    <xf numFmtId="167" fontId="178" fillId="0" borderId="0" xfId="4" applyNumberFormat="1" applyFont="1" applyAlignment="1">
      <alignment vertical="center"/>
    </xf>
    <xf numFmtId="0" fontId="178" fillId="0" borderId="0" xfId="4" applyFont="1" applyAlignment="1">
      <alignment vertical="center"/>
    </xf>
    <xf numFmtId="167" fontId="193" fillId="0" borderId="0" xfId="4" applyNumberFormat="1" applyFont="1" applyAlignment="1">
      <alignment vertical="center"/>
    </xf>
    <xf numFmtId="0" fontId="193" fillId="0" borderId="0" xfId="4" applyFont="1" applyAlignment="1">
      <alignment vertical="center"/>
    </xf>
    <xf numFmtId="167" fontId="194" fillId="0" borderId="7" xfId="4" applyNumberFormat="1" applyFont="1" applyBorder="1" applyAlignment="1">
      <alignment vertical="center"/>
    </xf>
    <xf numFmtId="167" fontId="195" fillId="0" borderId="7" xfId="4" applyNumberFormat="1" applyFont="1" applyBorder="1" applyAlignment="1">
      <alignment vertical="center" wrapText="1"/>
    </xf>
    <xf numFmtId="167" fontId="194" fillId="0" borderId="7" xfId="4" applyNumberFormat="1" applyFont="1" applyBorder="1" applyAlignment="1">
      <alignment vertical="center" wrapText="1"/>
    </xf>
    <xf numFmtId="167" fontId="196" fillId="0" borderId="7" xfId="4" applyNumberFormat="1" applyFont="1" applyBorder="1" applyAlignment="1">
      <alignment vertical="center"/>
    </xf>
    <xf numFmtId="167" fontId="195" fillId="0" borderId="7" xfId="4" applyNumberFormat="1" applyFont="1" applyBorder="1" applyAlignment="1">
      <alignment vertical="center"/>
    </xf>
    <xf numFmtId="167" fontId="194" fillId="0" borderId="7" xfId="4" applyNumberFormat="1" applyFont="1" applyBorder="1" applyAlignment="1">
      <alignment horizontal="left" vertical="center"/>
    </xf>
    <xf numFmtId="167" fontId="194" fillId="0" borderId="0" xfId="4" applyNumberFormat="1" applyFont="1" applyAlignment="1">
      <alignment horizontal="left" vertical="center"/>
    </xf>
    <xf numFmtId="0" fontId="194" fillId="0" borderId="0" xfId="4" applyFont="1" applyAlignment="1">
      <alignment horizontal="left" vertical="center"/>
    </xf>
    <xf numFmtId="0" fontId="194" fillId="0" borderId="1" xfId="0" applyFont="1" applyBorder="1" applyAlignment="1">
      <alignment horizontal="left" vertical="center" wrapText="1"/>
    </xf>
    <xf numFmtId="167" fontId="194" fillId="0" borderId="0" xfId="4" applyNumberFormat="1" applyFont="1" applyAlignment="1">
      <alignment vertical="center"/>
    </xf>
    <xf numFmtId="0" fontId="194" fillId="0" borderId="0" xfId="4" applyFont="1" applyAlignment="1">
      <alignment vertical="center"/>
    </xf>
    <xf numFmtId="0" fontId="44" fillId="0" borderId="0" xfId="4" applyFont="1" applyAlignment="1">
      <alignment horizontal="center" vertical="center" wrapText="1"/>
    </xf>
    <xf numFmtId="167" fontId="137" fillId="0" borderId="0" xfId="4" applyNumberFormat="1" applyFont="1" applyAlignment="1">
      <alignment horizontal="center" vertical="center" wrapText="1"/>
    </xf>
    <xf numFmtId="167" fontId="135" fillId="0" borderId="0" xfId="0" applyNumberFormat="1" applyFont="1" applyAlignment="1">
      <alignment vertical="center"/>
    </xf>
    <xf numFmtId="167" fontId="137" fillId="0" borderId="0" xfId="0" applyNumberFormat="1" applyFont="1" applyAlignment="1">
      <alignment vertical="center"/>
    </xf>
    <xf numFmtId="166" fontId="135" fillId="0" borderId="0" xfId="11" applyFont="1" applyAlignment="1">
      <alignment vertical="center"/>
    </xf>
    <xf numFmtId="167" fontId="44" fillId="0" borderId="0" xfId="4" applyNumberFormat="1" applyFont="1" applyAlignment="1">
      <alignment vertical="center"/>
    </xf>
    <xf numFmtId="0" fontId="44" fillId="0" borderId="0" xfId="4" applyFont="1" applyAlignment="1">
      <alignment vertical="center"/>
    </xf>
    <xf numFmtId="0" fontId="40" fillId="0" borderId="0" xfId="4" applyFont="1" applyAlignment="1">
      <alignment horizontal="center" vertical="center" wrapText="1"/>
    </xf>
    <xf numFmtId="0" fontId="40" fillId="0" borderId="0" xfId="4" applyFont="1" applyAlignment="1">
      <alignment vertical="center" wrapText="1"/>
    </xf>
    <xf numFmtId="167" fontId="199" fillId="0" borderId="0" xfId="4" applyNumberFormat="1" applyFont="1" applyAlignment="1">
      <alignment vertical="center" wrapText="1"/>
    </xf>
    <xf numFmtId="167" fontId="199" fillId="0" borderId="0" xfId="0" applyNumberFormat="1" applyFont="1" applyAlignment="1">
      <alignment vertical="center"/>
    </xf>
    <xf numFmtId="167" fontId="40" fillId="0" borderId="0" xfId="4" applyNumberFormat="1" applyFont="1" applyAlignment="1">
      <alignment vertical="center"/>
    </xf>
    <xf numFmtId="0" fontId="40" fillId="0" borderId="0" xfId="4" applyFont="1" applyAlignment="1">
      <alignment vertical="center"/>
    </xf>
    <xf numFmtId="167" fontId="134" fillId="0" borderId="0" xfId="4" applyNumberFormat="1" applyFont="1" applyAlignment="1">
      <alignment horizontal="center" vertical="center"/>
    </xf>
    <xf numFmtId="0" fontId="134" fillId="0" borderId="0" xfId="4" applyFont="1" applyAlignment="1">
      <alignment horizontal="center" vertical="center"/>
    </xf>
    <xf numFmtId="167" fontId="44" fillId="0" borderId="0" xfId="4" applyNumberFormat="1" applyFont="1" applyAlignment="1">
      <alignment horizontal="center" vertical="center" wrapText="1"/>
    </xf>
    <xf numFmtId="0" fontId="15" fillId="0" borderId="1" xfId="4" applyFont="1" applyBorder="1" applyAlignment="1">
      <alignment horizontal="center" vertical="center" wrapText="1"/>
    </xf>
    <xf numFmtId="3" fontId="199" fillId="0" borderId="1" xfId="4" applyNumberFormat="1" applyFont="1" applyBorder="1" applyAlignment="1">
      <alignment horizontal="center" vertical="center" wrapText="1"/>
    </xf>
    <xf numFmtId="3" fontId="15" fillId="0" borderId="1" xfId="4" applyNumberFormat="1" applyFont="1" applyBorder="1" applyAlignment="1">
      <alignment horizontal="center" vertical="center" wrapText="1"/>
    </xf>
    <xf numFmtId="49" fontId="199" fillId="0" borderId="1" xfId="11" applyNumberFormat="1" applyFont="1" applyBorder="1" applyAlignment="1">
      <alignment horizontal="center" vertical="center" wrapText="1"/>
    </xf>
    <xf numFmtId="167" fontId="15" fillId="0" borderId="0" xfId="4" applyNumberFormat="1" applyFont="1" applyAlignment="1">
      <alignment horizontal="center" vertical="center"/>
    </xf>
    <xf numFmtId="0" fontId="15" fillId="0" borderId="0" xfId="4" applyFont="1" applyAlignment="1">
      <alignment horizontal="center" vertical="center"/>
    </xf>
    <xf numFmtId="167" fontId="201" fillId="0" borderId="0" xfId="4" applyNumberFormat="1" applyFont="1" applyAlignment="1">
      <alignment vertical="center"/>
    </xf>
    <xf numFmtId="0" fontId="201" fillId="0" borderId="0" xfId="4" applyFont="1" applyAlignment="1">
      <alignment vertical="center"/>
    </xf>
    <xf numFmtId="167" fontId="195" fillId="0" borderId="0" xfId="4" applyNumberFormat="1" applyFont="1" applyAlignment="1">
      <alignment vertical="center"/>
    </xf>
    <xf numFmtId="0" fontId="195" fillId="0" borderId="0" xfId="4" applyFont="1" applyAlignment="1">
      <alignment vertical="center"/>
    </xf>
    <xf numFmtId="167" fontId="196" fillId="0" borderId="0" xfId="4" applyNumberFormat="1" applyFont="1" applyAlignment="1">
      <alignment vertical="center"/>
    </xf>
    <xf numFmtId="0" fontId="196" fillId="0" borderId="0" xfId="4" applyFont="1" applyAlignment="1">
      <alignment vertical="center"/>
    </xf>
    <xf numFmtId="0" fontId="194" fillId="0" borderId="1" xfId="0" applyFont="1" applyBorder="1" applyAlignment="1">
      <alignment horizontal="justify" vertical="center" wrapText="1"/>
    </xf>
    <xf numFmtId="167" fontId="166" fillId="0" borderId="0" xfId="0" applyNumberFormat="1" applyFont="1"/>
    <xf numFmtId="166" fontId="166" fillId="0" borderId="0" xfId="11" applyFont="1"/>
    <xf numFmtId="166" fontId="166" fillId="0" borderId="0" xfId="11" applyFont="1" applyAlignment="1"/>
    <xf numFmtId="167" fontId="102" fillId="0" borderId="0" xfId="4" applyNumberFormat="1" applyFont="1" applyAlignment="1">
      <alignment vertical="center"/>
    </xf>
    <xf numFmtId="3" fontId="178" fillId="0" borderId="1" xfId="4" applyNumberFormat="1" applyFont="1" applyBorder="1" applyAlignment="1">
      <alignment horizontal="center" vertical="center" wrapText="1"/>
    </xf>
    <xf numFmtId="4" fontId="178" fillId="0" borderId="1" xfId="4" applyNumberFormat="1" applyFont="1" applyBorder="1" applyAlignment="1">
      <alignment horizontal="right" vertical="center" wrapText="1"/>
    </xf>
    <xf numFmtId="166" fontId="178" fillId="0" borderId="1" xfId="11" applyFont="1" applyBorder="1" applyAlignment="1">
      <alignment horizontal="right" vertical="center" wrapText="1"/>
    </xf>
    <xf numFmtId="3" fontId="178" fillId="0" borderId="1" xfId="4" applyNumberFormat="1" applyFont="1" applyBorder="1" applyAlignment="1">
      <alignment horizontal="left" vertical="center" wrapText="1"/>
    </xf>
    <xf numFmtId="4" fontId="178" fillId="0" borderId="1" xfId="4" applyNumberFormat="1" applyFont="1" applyBorder="1" applyAlignment="1">
      <alignment horizontal="right" vertical="center"/>
    </xf>
    <xf numFmtId="3" fontId="178" fillId="0" borderId="1" xfId="4" applyNumberFormat="1" applyFont="1" applyBorder="1" applyAlignment="1">
      <alignment vertical="center" wrapText="1"/>
    </xf>
    <xf numFmtId="3" fontId="194" fillId="0" borderId="1" xfId="4" quotePrefix="1" applyNumberFormat="1" applyFont="1" applyBorder="1" applyAlignment="1">
      <alignment horizontal="center" vertical="center" wrapText="1"/>
    </xf>
    <xf numFmtId="3" fontId="194" fillId="0" borderId="1" xfId="4" applyNumberFormat="1" applyFont="1" applyBorder="1" applyAlignment="1">
      <alignment vertical="center" wrapText="1"/>
    </xf>
    <xf numFmtId="4" fontId="194" fillId="0" borderId="1" xfId="4" applyNumberFormat="1" applyFont="1" applyBorder="1" applyAlignment="1">
      <alignment horizontal="right" vertical="center" wrapText="1"/>
    </xf>
    <xf numFmtId="4" fontId="194" fillId="0" borderId="1" xfId="4" applyNumberFormat="1" applyFont="1" applyBorder="1" applyAlignment="1">
      <alignment horizontal="right" vertical="center"/>
    </xf>
    <xf numFmtId="4" fontId="194" fillId="0" borderId="1" xfId="11" applyNumberFormat="1" applyFont="1" applyBorder="1" applyAlignment="1">
      <alignment horizontal="right" vertical="center"/>
    </xf>
    <xf numFmtId="166" fontId="194" fillId="0" borderId="1" xfId="11" applyFont="1" applyBorder="1" applyAlignment="1">
      <alignment horizontal="right" vertical="center"/>
    </xf>
    <xf numFmtId="4" fontId="178" fillId="0" borderId="1" xfId="11" applyNumberFormat="1" applyFont="1" applyBorder="1" applyAlignment="1">
      <alignment horizontal="right" vertical="center"/>
    </xf>
    <xf numFmtId="166" fontId="178" fillId="0" borderId="1" xfId="11" applyFont="1" applyBorder="1" applyAlignment="1">
      <alignment horizontal="right" vertical="center"/>
    </xf>
    <xf numFmtId="166" fontId="178" fillId="0" borderId="1" xfId="11" applyFont="1" applyBorder="1" applyAlignment="1">
      <alignment vertical="center"/>
    </xf>
    <xf numFmtId="3" fontId="194" fillId="0" borderId="1" xfId="4" applyNumberFormat="1" applyFont="1" applyBorder="1" applyAlignment="1">
      <alignment horizontal="center" vertical="center" wrapText="1"/>
    </xf>
    <xf numFmtId="0" fontId="196" fillId="0" borderId="1" xfId="0" applyFont="1" applyBorder="1" applyAlignment="1">
      <alignment vertical="center" wrapText="1"/>
    </xf>
    <xf numFmtId="3" fontId="178" fillId="0" borderId="1" xfId="0" applyNumberFormat="1" applyFont="1" applyBorder="1" applyAlignment="1">
      <alignment vertical="center" wrapText="1"/>
    </xf>
    <xf numFmtId="0" fontId="196" fillId="0" borderId="1" xfId="1" applyFont="1" applyFill="1" applyBorder="1" applyAlignment="1">
      <alignment vertical="center" wrapText="1"/>
    </xf>
    <xf numFmtId="3" fontId="196" fillId="0" borderId="1" xfId="0" applyNumberFormat="1" applyFont="1" applyBorder="1" applyAlignment="1">
      <alignment vertical="center" wrapText="1"/>
    </xf>
    <xf numFmtId="4" fontId="178" fillId="0" borderId="1" xfId="11" applyNumberFormat="1" applyFont="1" applyBorder="1" applyAlignment="1">
      <alignment horizontal="right" vertical="center" wrapText="1"/>
    </xf>
    <xf numFmtId="4" fontId="194" fillId="0" borderId="1" xfId="11" applyNumberFormat="1" applyFont="1" applyBorder="1" applyAlignment="1">
      <alignment horizontal="right" vertical="center" wrapText="1"/>
    </xf>
    <xf numFmtId="3" fontId="195" fillId="0" borderId="1" xfId="4" applyNumberFormat="1" applyFont="1" applyBorder="1" applyAlignment="1">
      <alignment horizontal="center" vertical="center" wrapText="1"/>
    </xf>
    <xf numFmtId="3" fontId="195" fillId="0" borderId="1" xfId="4" applyNumberFormat="1" applyFont="1" applyBorder="1" applyAlignment="1">
      <alignment vertical="center" wrapText="1"/>
    </xf>
    <xf numFmtId="4" fontId="195" fillId="0" borderId="1" xfId="11" applyNumberFormat="1" applyFont="1" applyBorder="1" applyAlignment="1">
      <alignment horizontal="right" vertical="center" wrapText="1"/>
    </xf>
    <xf numFmtId="166" fontId="195" fillId="0" borderId="1" xfId="11" applyFont="1" applyBorder="1" applyAlignment="1">
      <alignment horizontal="right" vertical="center" wrapText="1"/>
    </xf>
    <xf numFmtId="166" fontId="195" fillId="0" borderId="1" xfId="11" applyFont="1" applyBorder="1" applyAlignment="1">
      <alignment horizontal="right" vertical="center"/>
    </xf>
    <xf numFmtId="3" fontId="196" fillId="0" borderId="1" xfId="4" quotePrefix="1" applyNumberFormat="1" applyFont="1" applyBorder="1" applyAlignment="1">
      <alignment horizontal="center" vertical="center" wrapText="1"/>
    </xf>
    <xf numFmtId="3" fontId="196" fillId="0" borderId="1" xfId="4" applyNumberFormat="1" applyFont="1" applyBorder="1" applyAlignment="1">
      <alignment vertical="center" wrapText="1"/>
    </xf>
    <xf numFmtId="4" fontId="196" fillId="0" borderId="1" xfId="11" applyNumberFormat="1" applyFont="1" applyBorder="1" applyAlignment="1">
      <alignment horizontal="right" vertical="center" wrapText="1"/>
    </xf>
    <xf numFmtId="166" fontId="196" fillId="0" borderId="1" xfId="11" applyFont="1" applyBorder="1" applyAlignment="1">
      <alignment horizontal="right" vertical="center"/>
    </xf>
    <xf numFmtId="4" fontId="196" fillId="0" borderId="1" xfId="11" applyNumberFormat="1" applyFont="1" applyBorder="1" applyAlignment="1">
      <alignment horizontal="right" vertical="center"/>
    </xf>
    <xf numFmtId="0" fontId="196" fillId="0" borderId="1" xfId="4" applyFont="1" applyBorder="1" applyAlignment="1">
      <alignment vertical="center" wrapText="1"/>
    </xf>
    <xf numFmtId="4" fontId="195" fillId="0" borderId="1" xfId="11" applyNumberFormat="1" applyFont="1" applyBorder="1" applyAlignment="1">
      <alignment horizontal="right" vertical="center"/>
    </xf>
    <xf numFmtId="3" fontId="196" fillId="0" borderId="1" xfId="4" applyNumberFormat="1" applyFont="1" applyBorder="1" applyAlignment="1">
      <alignment horizontal="center" vertical="center" wrapText="1"/>
    </xf>
    <xf numFmtId="166" fontId="194" fillId="0" borderId="1" xfId="11" applyFont="1" applyBorder="1" applyAlignment="1">
      <alignment horizontal="right" vertical="center" wrapText="1"/>
    </xf>
    <xf numFmtId="0" fontId="178" fillId="0" borderId="1" xfId="0" applyFont="1" applyBorder="1" applyAlignment="1">
      <alignment vertical="center" wrapText="1"/>
    </xf>
    <xf numFmtId="0" fontId="194" fillId="0" borderId="1" xfId="0" applyFont="1" applyBorder="1" applyAlignment="1">
      <alignment vertical="center" wrapText="1"/>
    </xf>
    <xf numFmtId="4" fontId="194" fillId="0" borderId="1" xfId="11" applyNumberFormat="1" applyFont="1" applyFill="1" applyBorder="1" applyAlignment="1">
      <alignment horizontal="right" vertical="center"/>
    </xf>
    <xf numFmtId="166" fontId="196" fillId="0" borderId="1" xfId="11" applyFont="1" applyBorder="1" applyAlignment="1">
      <alignment horizontal="right" vertical="center" wrapText="1"/>
    </xf>
    <xf numFmtId="166" fontId="201" fillId="0" borderId="1" xfId="11" applyFont="1" applyBorder="1" applyAlignment="1">
      <alignment horizontal="right" vertical="center"/>
    </xf>
    <xf numFmtId="39" fontId="194" fillId="0" borderId="1" xfId="11" applyNumberFormat="1" applyFont="1" applyBorder="1" applyAlignment="1">
      <alignment horizontal="right" vertical="center"/>
    </xf>
    <xf numFmtId="39" fontId="195" fillId="0" borderId="1" xfId="11" applyNumberFormat="1" applyFont="1" applyBorder="1" applyAlignment="1">
      <alignment horizontal="right" vertical="center" wrapText="1"/>
    </xf>
    <xf numFmtId="4" fontId="178" fillId="0" borderId="1" xfId="11" applyNumberFormat="1" applyFont="1" applyFill="1" applyBorder="1" applyAlignment="1">
      <alignment horizontal="right" vertical="center" wrapText="1"/>
    </xf>
    <xf numFmtId="4" fontId="201" fillId="0" borderId="1" xfId="11" applyNumberFormat="1" applyFont="1" applyBorder="1" applyAlignment="1">
      <alignment horizontal="right" vertical="center"/>
    </xf>
    <xf numFmtId="166" fontId="202" fillId="0" borderId="0" xfId="11" applyFont="1" applyAlignment="1">
      <alignment vertical="center"/>
    </xf>
    <xf numFmtId="39" fontId="196" fillId="0" borderId="1" xfId="11" applyNumberFormat="1" applyFont="1" applyBorder="1" applyAlignment="1">
      <alignment vertical="center" wrapText="1"/>
    </xf>
    <xf numFmtId="39" fontId="194" fillId="0" borderId="1" xfId="11" applyNumberFormat="1" applyFont="1" applyBorder="1" applyAlignment="1">
      <alignment vertical="center"/>
    </xf>
    <xf numFmtId="49" fontId="15" fillId="0" borderId="1" xfId="0" applyNumberFormat="1" applyFont="1" applyBorder="1" applyAlignment="1">
      <alignment horizontal="center" vertical="center" wrapText="1"/>
    </xf>
    <xf numFmtId="49" fontId="15" fillId="0" borderId="1" xfId="4" applyNumberFormat="1" applyFont="1" applyBorder="1" applyAlignment="1">
      <alignment horizontal="center" vertical="center" wrapText="1"/>
    </xf>
    <xf numFmtId="49" fontId="199" fillId="0" borderId="1" xfId="4" applyNumberFormat="1" applyFont="1" applyBorder="1" applyAlignment="1">
      <alignment horizontal="center" vertical="center" wrapText="1"/>
    </xf>
    <xf numFmtId="167" fontId="40" fillId="0" borderId="1" xfId="0" applyNumberFormat="1" applyFont="1" applyBorder="1" applyAlignment="1">
      <alignment horizontal="center" vertical="center" wrapText="1"/>
    </xf>
    <xf numFmtId="167" fontId="40" fillId="0" borderId="1" xfId="0" applyNumberFormat="1" applyFont="1" applyBorder="1" applyAlignment="1">
      <alignment horizontal="right" vertical="center" wrapText="1"/>
    </xf>
    <xf numFmtId="167" fontId="47" fillId="0" borderId="1" xfId="11" applyNumberFormat="1" applyFont="1" applyBorder="1" applyAlignment="1">
      <alignment horizontal="right" vertical="center"/>
    </xf>
    <xf numFmtId="3" fontId="17" fillId="3" borderId="1" xfId="0" applyNumberFormat="1" applyFont="1" applyFill="1" applyBorder="1" applyAlignment="1">
      <alignment horizontal="justify" vertical="center" wrapText="1"/>
    </xf>
    <xf numFmtId="167" fontId="55" fillId="3" borderId="1" xfId="11" applyNumberFormat="1" applyFont="1" applyFill="1" applyBorder="1" applyAlignment="1">
      <alignment horizontal="right" vertical="center"/>
    </xf>
    <xf numFmtId="183" fontId="17" fillId="0" borderId="1" xfId="0" applyNumberFormat="1" applyFont="1" applyBorder="1" applyAlignment="1">
      <alignment horizontal="right" vertical="center"/>
    </xf>
    <xf numFmtId="183" fontId="55" fillId="3" borderId="1" xfId="11" applyNumberFormat="1" applyFont="1" applyFill="1" applyBorder="1" applyAlignment="1">
      <alignment horizontal="right" vertical="center"/>
    </xf>
    <xf numFmtId="166" fontId="55" fillId="3" borderId="1" xfId="11" applyFont="1" applyFill="1" applyBorder="1" applyAlignment="1">
      <alignment horizontal="right" vertical="center" wrapText="1"/>
    </xf>
    <xf numFmtId="166" fontId="17" fillId="0" borderId="1" xfId="11" applyFont="1" applyBorder="1" applyAlignment="1">
      <alignment horizontal="right" vertical="center" wrapText="1"/>
    </xf>
    <xf numFmtId="166" fontId="47" fillId="3" borderId="1" xfId="11" applyFont="1" applyFill="1" applyBorder="1" applyAlignment="1">
      <alignment horizontal="right" vertical="center"/>
    </xf>
    <xf numFmtId="166" fontId="17" fillId="0" borderId="1" xfId="11" applyFont="1" applyBorder="1" applyAlignment="1">
      <alignment vertical="center"/>
    </xf>
    <xf numFmtId="166" fontId="47" fillId="3" borderId="1" xfId="11" applyFont="1" applyFill="1" applyBorder="1" applyAlignment="1">
      <alignment horizontal="center" vertical="center"/>
    </xf>
    <xf numFmtId="166" fontId="40" fillId="0" borderId="1" xfId="11" applyFont="1" applyBorder="1" applyAlignment="1">
      <alignment horizontal="right" vertical="center" wrapText="1"/>
    </xf>
    <xf numFmtId="183" fontId="17" fillId="0" borderId="0" xfId="0" applyNumberFormat="1" applyFont="1" applyAlignment="1">
      <alignment vertical="center" wrapText="1"/>
    </xf>
    <xf numFmtId="183" fontId="10" fillId="0" borderId="1" xfId="0" applyNumberFormat="1" applyFont="1" applyBorder="1" applyAlignment="1">
      <alignment vertical="center"/>
    </xf>
    <xf numFmtId="183" fontId="17" fillId="0" borderId="9" xfId="0" applyNumberFormat="1" applyFont="1" applyBorder="1" applyAlignment="1">
      <alignment vertical="center"/>
    </xf>
    <xf numFmtId="0" fontId="40" fillId="0" borderId="7" xfId="0" applyFont="1" applyBorder="1" applyAlignment="1">
      <alignment horizontal="left" vertical="center" wrapText="1"/>
    </xf>
    <xf numFmtId="183" fontId="17" fillId="0" borderId="7" xfId="0" applyNumberFormat="1" applyFont="1" applyBorder="1" applyAlignment="1">
      <alignment vertical="center"/>
    </xf>
    <xf numFmtId="0" fontId="40" fillId="0" borderId="15" xfId="0" applyFont="1" applyBorder="1" applyAlignment="1">
      <alignment horizontal="left" vertical="center" wrapText="1"/>
    </xf>
    <xf numFmtId="183" fontId="17" fillId="0" borderId="15" xfId="0" applyNumberFormat="1" applyFont="1" applyBorder="1" applyAlignment="1">
      <alignment vertical="center"/>
    </xf>
    <xf numFmtId="0" fontId="17" fillId="0" borderId="15" xfId="0" applyFont="1" applyBorder="1" applyAlignment="1">
      <alignment vertical="center"/>
    </xf>
    <xf numFmtId="0" fontId="10" fillId="0" borderId="1" xfId="0" applyFont="1" applyBorder="1" applyAlignment="1">
      <alignment vertical="center"/>
    </xf>
    <xf numFmtId="0" fontId="17" fillId="0" borderId="9" xfId="0" applyFont="1" applyBorder="1" applyAlignment="1">
      <alignment vertical="center"/>
    </xf>
    <xf numFmtId="0" fontId="11" fillId="0" borderId="7" xfId="0" applyFont="1" applyBorder="1" applyAlignment="1">
      <alignment horizontal="center" vertical="center"/>
    </xf>
    <xf numFmtId="0" fontId="11" fillId="0" borderId="7" xfId="0" applyFont="1" applyBorder="1" applyAlignment="1">
      <alignment vertical="center"/>
    </xf>
    <xf numFmtId="0" fontId="11" fillId="0" borderId="15" xfId="0" applyFont="1" applyBorder="1" applyAlignment="1">
      <alignment horizontal="center" vertical="center"/>
    </xf>
    <xf numFmtId="0" fontId="11" fillId="0" borderId="15" xfId="0" applyFont="1" applyBorder="1" applyAlignment="1">
      <alignment vertical="center" wrapText="1"/>
    </xf>
    <xf numFmtId="0" fontId="11" fillId="0" borderId="15" xfId="0" applyFont="1" applyBorder="1" applyAlignment="1">
      <alignment vertical="center"/>
    </xf>
    <xf numFmtId="0" fontId="17" fillId="0" borderId="4" xfId="0" applyFont="1" applyBorder="1" applyAlignment="1">
      <alignment horizontal="center" vertical="center"/>
    </xf>
    <xf numFmtId="0" fontId="40" fillId="0" borderId="4" xfId="0" applyFont="1" applyBorder="1" applyAlignment="1">
      <alignment horizontal="left" vertical="center" wrapText="1"/>
    </xf>
    <xf numFmtId="0" fontId="17" fillId="0" borderId="4" xfId="0" applyFont="1" applyBorder="1" applyAlignment="1">
      <alignment vertical="center"/>
    </xf>
    <xf numFmtId="183" fontId="17" fillId="0" borderId="4" xfId="0" applyNumberFormat="1" applyFont="1" applyBorder="1" applyAlignment="1">
      <alignment vertical="center"/>
    </xf>
    <xf numFmtId="0" fontId="45" fillId="0" borderId="1" xfId="0" applyFont="1" applyBorder="1" applyAlignment="1">
      <alignment horizontal="center" vertical="center" wrapText="1"/>
    </xf>
    <xf numFmtId="0" fontId="203" fillId="0" borderId="1" xfId="0" applyFont="1" applyBorder="1" applyAlignment="1">
      <alignment horizontal="center" vertical="center" wrapText="1"/>
    </xf>
    <xf numFmtId="0" fontId="203" fillId="0" borderId="1" xfId="0" applyFont="1" applyBorder="1" applyAlignment="1">
      <alignment horizontal="justify" vertical="center" wrapText="1"/>
    </xf>
    <xf numFmtId="167" fontId="203" fillId="0" borderId="1" xfId="0" applyNumberFormat="1" applyFont="1" applyBorder="1" applyAlignment="1">
      <alignment horizontal="right" vertical="center" wrapText="1"/>
    </xf>
    <xf numFmtId="183" fontId="203" fillId="0" borderId="1" xfId="0" applyNumberFormat="1" applyFont="1" applyBorder="1" applyAlignment="1">
      <alignment horizontal="right" vertical="center" wrapText="1"/>
    </xf>
    <xf numFmtId="0" fontId="204" fillId="0" borderId="1" xfId="0" applyFont="1" applyBorder="1" applyAlignment="1">
      <alignment vertical="center" wrapText="1"/>
    </xf>
    <xf numFmtId="0" fontId="205" fillId="0" borderId="0" xfId="0" applyFont="1"/>
    <xf numFmtId="259" fontId="154" fillId="0" borderId="7" xfId="11" applyNumberFormat="1" applyFont="1" applyFill="1" applyBorder="1" applyAlignment="1">
      <alignment horizontal="right" vertical="center" wrapText="1"/>
    </xf>
    <xf numFmtId="183" fontId="134" fillId="0" borderId="21" xfId="0" applyNumberFormat="1" applyFont="1" applyBorder="1" applyAlignment="1">
      <alignment horizontal="right" vertical="center" wrapText="1"/>
    </xf>
    <xf numFmtId="261" fontId="136" fillId="0" borderId="21" xfId="11" applyNumberFormat="1" applyFont="1" applyBorder="1" applyAlignment="1">
      <alignment horizontal="right" vertical="center" wrapText="1"/>
    </xf>
    <xf numFmtId="261" fontId="136" fillId="0" borderId="45" xfId="11" applyNumberFormat="1" applyFont="1" applyBorder="1" applyAlignment="1">
      <alignment horizontal="right" vertical="center" wrapText="1"/>
    </xf>
    <xf numFmtId="261" fontId="136" fillId="0" borderId="7" xfId="11" applyNumberFormat="1" applyFont="1" applyBorder="1" applyAlignment="1">
      <alignment horizontal="right" vertical="center" wrapText="1"/>
    </xf>
    <xf numFmtId="261" fontId="182" fillId="0" borderId="7" xfId="11" applyNumberFormat="1" applyFont="1" applyBorder="1" applyAlignment="1">
      <alignment horizontal="right" vertical="center" wrapText="1"/>
    </xf>
    <xf numFmtId="261" fontId="151" fillId="0" borderId="7" xfId="11" applyNumberFormat="1" applyFont="1" applyBorder="1" applyAlignment="1">
      <alignment horizontal="right" vertical="center" wrapText="1"/>
    </xf>
    <xf numFmtId="261" fontId="151" fillId="0" borderId="8" xfId="11" applyNumberFormat="1" applyFont="1" applyBorder="1" applyAlignment="1">
      <alignment horizontal="right" vertical="center" wrapText="1"/>
    </xf>
    <xf numFmtId="183" fontId="178" fillId="0" borderId="7" xfId="10" applyNumberFormat="1" applyFont="1" applyFill="1" applyBorder="1" applyAlignment="1">
      <alignment horizontal="right" vertical="center" wrapText="1"/>
    </xf>
    <xf numFmtId="183" fontId="178" fillId="0" borderId="7" xfId="10" applyNumberFormat="1" applyFont="1" applyBorder="1" applyAlignment="1">
      <alignment horizontal="right" vertical="center" wrapText="1"/>
    </xf>
    <xf numFmtId="167" fontId="138" fillId="0" borderId="1" xfId="10" applyNumberFormat="1" applyFont="1" applyBorder="1" applyAlignment="1">
      <alignment horizontal="right" vertical="center" wrapText="1"/>
    </xf>
    <xf numFmtId="167" fontId="138" fillId="0" borderId="9" xfId="10" applyNumberFormat="1" applyFont="1" applyBorder="1" applyAlignment="1">
      <alignment horizontal="right" vertical="center" wrapText="1"/>
    </xf>
    <xf numFmtId="167" fontId="139" fillId="0" borderId="7" xfId="10" applyNumberFormat="1" applyFont="1" applyBorder="1" applyAlignment="1">
      <alignment horizontal="right" vertical="center" wrapText="1"/>
    </xf>
    <xf numFmtId="167" fontId="138" fillId="0" borderId="7" xfId="10" applyNumberFormat="1" applyFont="1" applyBorder="1" applyAlignment="1">
      <alignment horizontal="right" vertical="center" wrapText="1"/>
    </xf>
    <xf numFmtId="167" fontId="138" fillId="0" borderId="7" xfId="10" applyNumberFormat="1" applyFont="1" applyBorder="1" applyAlignment="1">
      <alignment horizontal="center" vertical="center" wrapText="1"/>
    </xf>
    <xf numFmtId="167" fontId="138" fillId="0" borderId="15" xfId="10" applyNumberFormat="1" applyFont="1" applyBorder="1" applyAlignment="1">
      <alignment horizontal="right" vertical="center" wrapText="1"/>
    </xf>
    <xf numFmtId="167" fontId="138" fillId="0" borderId="15" xfId="10" applyNumberFormat="1" applyFont="1" applyBorder="1" applyAlignment="1">
      <alignment horizontal="center" vertical="center" wrapText="1"/>
    </xf>
    <xf numFmtId="167" fontId="138" fillId="0" borderId="1" xfId="0" applyNumberFormat="1" applyFont="1" applyBorder="1" applyAlignment="1">
      <alignment horizontal="center" vertical="center" wrapText="1"/>
    </xf>
    <xf numFmtId="167" fontId="138" fillId="0" borderId="9" xfId="0" applyNumberFormat="1" applyFont="1" applyBorder="1" applyAlignment="1">
      <alignment horizontal="center" vertical="center" wrapText="1"/>
    </xf>
    <xf numFmtId="167" fontId="138" fillId="0" borderId="7" xfId="0" applyNumberFormat="1" applyFont="1" applyBorder="1" applyAlignment="1">
      <alignment horizontal="center" vertical="center" wrapText="1"/>
    </xf>
    <xf numFmtId="167" fontId="139" fillId="0" borderId="7" xfId="0" applyNumberFormat="1" applyFont="1" applyBorder="1" applyAlignment="1">
      <alignment horizontal="center" vertical="center" wrapText="1"/>
    </xf>
    <xf numFmtId="167" fontId="138" fillId="0" borderId="15" xfId="0" applyNumberFormat="1" applyFont="1" applyBorder="1" applyAlignment="1">
      <alignment horizontal="center" vertical="center" wrapText="1"/>
    </xf>
    <xf numFmtId="167" fontId="37" fillId="0" borderId="6" xfId="0" applyNumberFormat="1" applyFont="1" applyBorder="1" applyAlignment="1">
      <alignment horizontal="center" vertical="center" wrapText="1"/>
    </xf>
    <xf numFmtId="167" fontId="37" fillId="0" borderId="7" xfId="0" applyNumberFormat="1" applyFont="1" applyBorder="1" applyAlignment="1">
      <alignment horizontal="center" vertical="center" wrapText="1"/>
    </xf>
    <xf numFmtId="167" fontId="38" fillId="0" borderId="7" xfId="0" applyNumberFormat="1" applyFont="1" applyBorder="1" applyAlignment="1">
      <alignment horizontal="center" vertical="center" wrapText="1"/>
    </xf>
    <xf numFmtId="167" fontId="38" fillId="0" borderId="7" xfId="10" applyNumberFormat="1" applyFont="1" applyBorder="1" applyAlignment="1">
      <alignment horizontal="center" vertical="center" wrapText="1"/>
    </xf>
    <xf numFmtId="167" fontId="38" fillId="3" borderId="7" xfId="0" applyNumberFormat="1" applyFont="1" applyFill="1" applyBorder="1" applyAlignment="1">
      <alignment horizontal="center" vertical="center" wrapText="1"/>
    </xf>
    <xf numFmtId="167" fontId="122" fillId="0" borderId="7" xfId="0" applyNumberFormat="1" applyFont="1" applyBorder="1" applyAlignment="1">
      <alignment horizontal="center" vertical="center" wrapText="1"/>
    </xf>
    <xf numFmtId="167" fontId="38" fillId="0" borderId="8" xfId="0" applyNumberFormat="1" applyFont="1" applyBorder="1" applyAlignment="1">
      <alignment horizontal="center" vertical="center" wrapText="1"/>
    </xf>
    <xf numFmtId="0" fontId="103" fillId="0" borderId="0" xfId="0" applyFont="1" applyAlignment="1">
      <alignment horizontal="center" vertical="center"/>
    </xf>
    <xf numFmtId="0" fontId="103" fillId="0" borderId="0" xfId="0" applyFont="1" applyAlignment="1">
      <alignment horizontal="center"/>
    </xf>
    <xf numFmtId="0" fontId="131" fillId="0" borderId="8" xfId="2" applyFont="1" applyBorder="1" applyAlignment="1">
      <alignment horizontal="left" vertical="center" wrapText="1"/>
    </xf>
    <xf numFmtId="0" fontId="206" fillId="0" borderId="0" xfId="0" applyFont="1" applyAlignment="1">
      <alignment vertical="center" wrapText="1"/>
    </xf>
    <xf numFmtId="0" fontId="206" fillId="0" borderId="0" xfId="0" applyFont="1" applyAlignment="1">
      <alignment horizontal="left" vertical="center" wrapText="1"/>
    </xf>
    <xf numFmtId="0" fontId="207" fillId="0" borderId="0" xfId="0" applyFont="1" applyAlignment="1">
      <alignment vertical="center"/>
    </xf>
    <xf numFmtId="0" fontId="52" fillId="0" borderId="0" xfId="0" applyFont="1" applyAlignment="1">
      <alignment vertical="center" wrapText="1"/>
    </xf>
    <xf numFmtId="183" fontId="206" fillId="0" borderId="0" xfId="0" applyNumberFormat="1" applyFont="1" applyAlignment="1">
      <alignment horizontal="right" vertical="center" wrapText="1"/>
    </xf>
    <xf numFmtId="183" fontId="207" fillId="0" borderId="0" xfId="0" applyNumberFormat="1" applyFont="1" applyAlignment="1">
      <alignment horizontal="right" vertical="center"/>
    </xf>
    <xf numFmtId="183" fontId="72" fillId="0" borderId="0" xfId="0" applyNumberFormat="1" applyFont="1" applyAlignment="1">
      <alignment horizontal="right"/>
    </xf>
    <xf numFmtId="0" fontId="11" fillId="0" borderId="1" xfId="0" applyFont="1" applyBorder="1" applyAlignment="1">
      <alignment vertical="center" wrapText="1"/>
    </xf>
    <xf numFmtId="166" fontId="45" fillId="0" borderId="7" xfId="11" applyFont="1" applyBorder="1" applyAlignment="1">
      <alignment horizontal="right" vertical="center" wrapText="1"/>
    </xf>
    <xf numFmtId="167" fontId="41" fillId="0" borderId="0" xfId="0" applyNumberFormat="1" applyFont="1"/>
    <xf numFmtId="167" fontId="17" fillId="26" borderId="1" xfId="0" applyNumberFormat="1" applyFont="1" applyFill="1" applyBorder="1" applyAlignment="1">
      <alignment vertical="center"/>
    </xf>
    <xf numFmtId="167" fontId="41" fillId="0" borderId="0" xfId="0" applyNumberFormat="1" applyFont="1" applyAlignment="1">
      <alignment vertical="center"/>
    </xf>
    <xf numFmtId="0" fontId="128" fillId="0" borderId="7" xfId="0" applyFont="1" applyBorder="1" applyAlignment="1">
      <alignment horizontal="center" vertical="center" wrapText="1"/>
    </xf>
    <xf numFmtId="0" fontId="128" fillId="0" borderId="7" xfId="0" applyFont="1" applyBorder="1" applyAlignment="1">
      <alignment vertical="center" wrapText="1"/>
    </xf>
    <xf numFmtId="0" fontId="128" fillId="0" borderId="8" xfId="0" applyFont="1" applyBorder="1" applyAlignment="1">
      <alignment horizontal="center" vertical="center" wrapText="1"/>
    </xf>
    <xf numFmtId="0" fontId="128" fillId="0" borderId="8" xfId="0" applyFont="1" applyBorder="1" applyAlignment="1">
      <alignment vertical="center" wrapText="1"/>
    </xf>
    <xf numFmtId="0" fontId="45" fillId="0" borderId="15" xfId="0" applyFont="1" applyBorder="1" applyAlignment="1">
      <alignment horizontal="center" vertical="center" wrapText="1"/>
    </xf>
    <xf numFmtId="0" fontId="45" fillId="0" borderId="15" xfId="0" applyFont="1" applyBorder="1" applyAlignment="1">
      <alignment vertical="center" wrapText="1"/>
    </xf>
    <xf numFmtId="167" fontId="45" fillId="0" borderId="15" xfId="0" applyNumberFormat="1" applyFont="1" applyBorder="1" applyAlignment="1">
      <alignment horizontal="right" vertical="center" wrapText="1"/>
    </xf>
    <xf numFmtId="0" fontId="128" fillId="0" borderId="9" xfId="0" applyFont="1" applyBorder="1" applyAlignment="1">
      <alignment horizontal="center" vertical="center" wrapText="1"/>
    </xf>
    <xf numFmtId="0" fontId="128" fillId="0" borderId="9" xfId="0" applyFont="1" applyBorder="1" applyAlignment="1">
      <alignment vertical="center" wrapText="1"/>
    </xf>
    <xf numFmtId="167" fontId="45" fillId="0" borderId="9" xfId="0" applyNumberFormat="1" applyFont="1" applyBorder="1" applyAlignment="1">
      <alignment horizontal="right" vertical="center" wrapText="1"/>
    </xf>
    <xf numFmtId="0" fontId="45" fillId="0" borderId="9" xfId="0" applyFont="1" applyBorder="1" applyAlignment="1">
      <alignment horizontal="center" vertical="center" wrapText="1"/>
    </xf>
    <xf numFmtId="0" fontId="45" fillId="0" borderId="9" xfId="0" applyFont="1" applyBorder="1" applyAlignment="1">
      <alignment vertical="center" wrapText="1"/>
    </xf>
    <xf numFmtId="166" fontId="45" fillId="0" borderId="9" xfId="11" applyFont="1" applyBorder="1" applyAlignment="1">
      <alignment horizontal="right" vertical="center" wrapText="1"/>
    </xf>
    <xf numFmtId="0" fontId="42" fillId="0" borderId="1" xfId="0" applyFont="1" applyBorder="1" applyAlignment="1">
      <alignment vertical="center" wrapText="1"/>
    </xf>
    <xf numFmtId="166" fontId="42" fillId="0" borderId="1" xfId="11" applyFont="1" applyBorder="1" applyAlignment="1">
      <alignment horizontal="right" vertical="center" wrapText="1"/>
    </xf>
    <xf numFmtId="167" fontId="0" fillId="0" borderId="1" xfId="0" applyNumberFormat="1" applyBorder="1" applyAlignment="1">
      <alignment vertical="center"/>
    </xf>
    <xf numFmtId="0" fontId="0" fillId="0" borderId="9" xfId="0" applyBorder="1" applyAlignment="1">
      <alignment vertical="center"/>
    </xf>
    <xf numFmtId="167" fontId="0" fillId="0" borderId="9" xfId="0" applyNumberFormat="1" applyBorder="1" applyAlignment="1">
      <alignment vertical="center"/>
    </xf>
    <xf numFmtId="0" fontId="0" fillId="0" borderId="7" xfId="0" applyBorder="1" applyAlignment="1">
      <alignment vertical="center"/>
    </xf>
    <xf numFmtId="167" fontId="0" fillId="0" borderId="8" xfId="0" applyNumberFormat="1" applyBorder="1" applyAlignment="1">
      <alignment vertical="center"/>
    </xf>
    <xf numFmtId="0" fontId="0" fillId="0" borderId="8" xfId="0" applyBorder="1" applyAlignment="1">
      <alignment vertical="center"/>
    </xf>
    <xf numFmtId="0" fontId="103" fillId="0" borderId="7" xfId="0" applyFont="1" applyBorder="1" applyAlignment="1">
      <alignment horizontal="center" vertical="center"/>
    </xf>
    <xf numFmtId="0" fontId="103" fillId="0" borderId="8" xfId="0" applyFont="1" applyBorder="1" applyAlignment="1">
      <alignment horizontal="center" vertical="center"/>
    </xf>
    <xf numFmtId="166" fontId="38" fillId="0" borderId="6" xfId="11" applyFont="1" applyBorder="1" applyAlignment="1">
      <alignment horizontal="right" vertical="center" wrapText="1"/>
    </xf>
    <xf numFmtId="166" fontId="38" fillId="0" borderId="7" xfId="11" applyFont="1" applyBorder="1" applyAlignment="1">
      <alignment horizontal="center" vertical="center" wrapText="1"/>
    </xf>
    <xf numFmtId="167" fontId="139" fillId="0" borderId="9" xfId="0" applyNumberFormat="1" applyFont="1" applyBorder="1" applyAlignment="1">
      <alignment horizontal="center" vertical="center" wrapText="1"/>
    </xf>
    <xf numFmtId="167" fontId="139" fillId="0" borderId="15" xfId="0" applyNumberFormat="1" applyFont="1" applyBorder="1" applyAlignment="1">
      <alignment horizontal="center" vertical="center" wrapText="1"/>
    </xf>
    <xf numFmtId="167" fontId="139" fillId="0" borderId="8" xfId="0" applyNumberFormat="1" applyFont="1" applyBorder="1" applyAlignment="1">
      <alignment horizontal="center" vertical="center" wrapText="1"/>
    </xf>
    <xf numFmtId="167" fontId="139" fillId="0" borderId="3" xfId="0" applyNumberFormat="1" applyFont="1" applyBorder="1" applyAlignment="1">
      <alignment horizontal="center" vertical="center" wrapText="1"/>
    </xf>
    <xf numFmtId="167" fontId="139" fillId="0" borderId="45" xfId="0" applyNumberFormat="1" applyFont="1" applyBorder="1" applyAlignment="1">
      <alignment horizontal="center" vertical="center" wrapText="1"/>
    </xf>
    <xf numFmtId="0" fontId="194" fillId="38" borderId="1" xfId="0" applyFont="1" applyFill="1" applyBorder="1" applyAlignment="1">
      <alignment horizontal="left" vertical="center" wrapText="1"/>
    </xf>
    <xf numFmtId="166" fontId="194" fillId="38" borderId="1" xfId="11" applyFont="1" applyFill="1" applyBorder="1" applyAlignment="1">
      <alignment horizontal="right" vertical="center" wrapText="1"/>
    </xf>
    <xf numFmtId="166" fontId="194" fillId="38" borderId="1" xfId="11" applyFont="1" applyFill="1" applyBorder="1" applyAlignment="1">
      <alignment horizontal="right" vertical="center"/>
    </xf>
    <xf numFmtId="4" fontId="194" fillId="38" borderId="1" xfId="11" applyNumberFormat="1" applyFont="1" applyFill="1" applyBorder="1" applyAlignment="1">
      <alignment horizontal="right" vertical="center"/>
    </xf>
    <xf numFmtId="4" fontId="194" fillId="38" borderId="1" xfId="11" applyNumberFormat="1" applyFont="1" applyFill="1" applyBorder="1" applyAlignment="1">
      <alignment horizontal="right" vertical="center" wrapText="1"/>
    </xf>
    <xf numFmtId="167" fontId="194" fillId="38" borderId="7" xfId="4" applyNumberFormat="1" applyFont="1" applyFill="1" applyBorder="1" applyAlignment="1">
      <alignment vertical="center"/>
    </xf>
    <xf numFmtId="167" fontId="194" fillId="38" borderId="0" xfId="4" applyNumberFormat="1" applyFont="1" applyFill="1" applyAlignment="1">
      <alignment vertical="center"/>
    </xf>
    <xf numFmtId="0" fontId="194" fillId="38" borderId="0" xfId="4" applyFont="1" applyFill="1" applyAlignment="1">
      <alignment vertical="center"/>
    </xf>
    <xf numFmtId="167" fontId="10" fillId="0" borderId="1" xfId="10" applyNumberFormat="1" applyFont="1" applyFill="1" applyBorder="1" applyAlignment="1">
      <alignment vertical="center" wrapText="1"/>
    </xf>
    <xf numFmtId="167" fontId="10" fillId="0" borderId="45" xfId="10" applyNumberFormat="1" applyFont="1" applyBorder="1" applyAlignment="1">
      <alignment vertical="center" wrapText="1"/>
    </xf>
    <xf numFmtId="167" fontId="17" fillId="0" borderId="7" xfId="10" applyNumberFormat="1" applyFont="1" applyBorder="1" applyAlignment="1">
      <alignment vertical="center" wrapText="1"/>
    </xf>
    <xf numFmtId="167" fontId="10" fillId="0" borderId="7" xfId="10" applyNumberFormat="1" applyFont="1" applyBorder="1" applyAlignment="1">
      <alignment vertical="center" wrapText="1"/>
    </xf>
    <xf numFmtId="167" fontId="10" fillId="0" borderId="7" xfId="10" applyNumberFormat="1" applyFont="1" applyFill="1" applyBorder="1" applyAlignment="1">
      <alignment vertical="center" wrapText="1"/>
    </xf>
    <xf numFmtId="167" fontId="11" fillId="0" borderId="7" xfId="10" applyNumberFormat="1" applyFont="1" applyBorder="1" applyAlignment="1">
      <alignment vertical="center" wrapText="1"/>
    </xf>
    <xf numFmtId="167" fontId="10" fillId="3" borderId="8" xfId="10" applyNumberFormat="1" applyFont="1" applyFill="1" applyBorder="1" applyAlignment="1">
      <alignment vertical="center" wrapText="1"/>
    </xf>
    <xf numFmtId="167" fontId="10" fillId="0" borderId="1" xfId="10" applyNumberFormat="1" applyFont="1" applyBorder="1" applyAlignment="1">
      <alignment vertical="center" wrapText="1"/>
    </xf>
    <xf numFmtId="174" fontId="38" fillId="3" borderId="0" xfId="10" applyNumberFormat="1" applyFont="1" applyFill="1"/>
    <xf numFmtId="167" fontId="38" fillId="3" borderId="0" xfId="0" applyNumberFormat="1" applyFont="1" applyFill="1"/>
    <xf numFmtId="0" fontId="39" fillId="3" borderId="13" xfId="0" applyFont="1" applyFill="1" applyBorder="1" applyAlignment="1">
      <alignment horizontal="right" vertical="center"/>
    </xf>
    <xf numFmtId="9" fontId="37" fillId="3" borderId="1" xfId="65" applyFont="1" applyFill="1" applyBorder="1" applyAlignment="1">
      <alignment horizontal="center" vertical="center" wrapText="1"/>
    </xf>
    <xf numFmtId="174" fontId="37" fillId="3" borderId="1" xfId="10" applyNumberFormat="1" applyFont="1" applyFill="1" applyBorder="1" applyAlignment="1">
      <alignment horizontal="center" vertical="center" wrapText="1"/>
    </xf>
    <xf numFmtId="0" fontId="37" fillId="3" borderId="1" xfId="10" applyNumberFormat="1" applyFont="1" applyFill="1" applyBorder="1" applyAlignment="1">
      <alignment horizontal="center" vertical="center" wrapText="1"/>
    </xf>
    <xf numFmtId="165" fontId="37" fillId="3" borderId="1" xfId="0" applyNumberFormat="1" applyFont="1" applyFill="1" applyBorder="1" applyAlignment="1">
      <alignment horizontal="center" vertical="center" wrapText="1"/>
    </xf>
    <xf numFmtId="0" fontId="37" fillId="3" borderId="1" xfId="0" applyFont="1" applyFill="1" applyBorder="1" applyAlignment="1">
      <alignment vertical="center" wrapText="1"/>
    </xf>
    <xf numFmtId="4" fontId="37" fillId="3" borderId="1" xfId="11" applyNumberFormat="1" applyFont="1" applyFill="1" applyBorder="1" applyAlignment="1">
      <alignment vertical="center"/>
    </xf>
    <xf numFmtId="183" fontId="37" fillId="3" borderId="1" xfId="11" applyNumberFormat="1" applyFont="1" applyFill="1" applyBorder="1" applyAlignment="1">
      <alignment vertical="center"/>
    </xf>
    <xf numFmtId="4" fontId="37" fillId="3" borderId="1" xfId="10" applyNumberFormat="1" applyFont="1" applyFill="1" applyBorder="1" applyAlignment="1">
      <alignment vertical="center" wrapText="1"/>
    </xf>
    <xf numFmtId="0" fontId="37" fillId="3" borderId="1" xfId="0" applyFont="1" applyFill="1" applyBorder="1" applyAlignment="1">
      <alignment horizontal="center" vertical="center"/>
    </xf>
    <xf numFmtId="0" fontId="37" fillId="3" borderId="1" xfId="0" applyFont="1" applyFill="1" applyBorder="1" applyAlignment="1">
      <alignment horizontal="left" vertical="center" wrapText="1"/>
    </xf>
    <xf numFmtId="0" fontId="37" fillId="3" borderId="1" xfId="0" applyFont="1" applyFill="1" applyBorder="1" applyAlignment="1">
      <alignment vertical="center"/>
    </xf>
    <xf numFmtId="4" fontId="37" fillId="3" borderId="1" xfId="11" applyNumberFormat="1" applyFont="1" applyFill="1" applyBorder="1" applyAlignment="1">
      <alignment horizontal="right" vertical="center"/>
    </xf>
    <xf numFmtId="4" fontId="37" fillId="3" borderId="1" xfId="11" applyNumberFormat="1" applyFont="1" applyFill="1" applyBorder="1" applyAlignment="1">
      <alignment horizontal="center" vertical="center"/>
    </xf>
    <xf numFmtId="4" fontId="37" fillId="3" borderId="1" xfId="10" applyNumberFormat="1" applyFont="1" applyFill="1" applyBorder="1" applyAlignment="1">
      <alignment horizontal="right" vertical="center" wrapText="1"/>
    </xf>
    <xf numFmtId="0" fontId="38" fillId="3" borderId="1" xfId="0" applyFont="1" applyFill="1" applyBorder="1" applyAlignment="1">
      <alignment horizontal="center" vertical="center"/>
    </xf>
    <xf numFmtId="0" fontId="38" fillId="3" borderId="1" xfId="0" applyFont="1" applyFill="1" applyBorder="1" applyAlignment="1">
      <alignment vertical="center"/>
    </xf>
    <xf numFmtId="4" fontId="38" fillId="3" borderId="1" xfId="0" applyNumberFormat="1" applyFont="1" applyFill="1" applyBorder="1" applyAlignment="1">
      <alignment vertical="center"/>
    </xf>
    <xf numFmtId="183" fontId="38" fillId="3" borderId="1" xfId="79" applyNumberFormat="1" applyFont="1" applyFill="1" applyBorder="1" applyAlignment="1">
      <alignment horizontal="justify" vertical="center" wrapText="1"/>
    </xf>
    <xf numFmtId="4" fontId="38" fillId="3" borderId="1" xfId="11" applyNumberFormat="1" applyFont="1" applyFill="1" applyBorder="1" applyAlignment="1">
      <alignment horizontal="center" vertical="center"/>
    </xf>
    <xf numFmtId="4" fontId="38" fillId="3" borderId="1" xfId="11" applyNumberFormat="1" applyFont="1" applyFill="1" applyBorder="1" applyAlignment="1">
      <alignment horizontal="right" vertical="center"/>
    </xf>
    <xf numFmtId="4" fontId="38" fillId="3" borderId="1" xfId="10" applyNumberFormat="1" applyFont="1" applyFill="1" applyBorder="1" applyAlignment="1">
      <alignment horizontal="right" vertical="center" wrapText="1"/>
    </xf>
    <xf numFmtId="4" fontId="38" fillId="3" borderId="0" xfId="0" applyNumberFormat="1" applyFont="1" applyFill="1"/>
    <xf numFmtId="183" fontId="38" fillId="3" borderId="0" xfId="0" applyNumberFormat="1" applyFont="1" applyFill="1"/>
    <xf numFmtId="0" fontId="15" fillId="3" borderId="1" xfId="0" applyFont="1" applyFill="1" applyBorder="1" applyAlignment="1">
      <alignment horizontal="center" vertical="center"/>
    </xf>
    <xf numFmtId="49" fontId="113" fillId="3" borderId="1" xfId="0" quotePrefix="1" applyNumberFormat="1" applyFont="1" applyFill="1" applyBorder="1" applyAlignment="1">
      <alignment horizontal="center" vertical="center" wrapText="1"/>
    </xf>
    <xf numFmtId="0" fontId="113" fillId="3" borderId="1" xfId="0" applyFont="1" applyFill="1" applyBorder="1" applyAlignment="1">
      <alignment horizontal="left" vertical="center" wrapText="1"/>
    </xf>
    <xf numFmtId="0" fontId="15" fillId="3" borderId="1" xfId="0" applyFont="1" applyFill="1" applyBorder="1" applyAlignment="1">
      <alignment horizontal="center" vertical="center" wrapText="1"/>
    </xf>
    <xf numFmtId="183" fontId="15" fillId="3" borderId="1" xfId="79" applyNumberFormat="1" applyFont="1" applyFill="1" applyBorder="1" applyAlignment="1">
      <alignment horizontal="justify" vertical="center" wrapText="1"/>
    </xf>
    <xf numFmtId="1" fontId="38" fillId="3" borderId="1" xfId="79" applyNumberFormat="1" applyFont="1" applyFill="1" applyBorder="1" applyAlignment="1">
      <alignment horizontal="justify" vertical="center" wrapText="1"/>
    </xf>
    <xf numFmtId="0" fontId="38" fillId="3" borderId="0" xfId="0" applyFont="1" applyFill="1" applyAlignment="1">
      <alignment horizontal="center"/>
    </xf>
    <xf numFmtId="9" fontId="38" fillId="3" borderId="0" xfId="65" applyFont="1" applyFill="1" applyAlignment="1">
      <alignment horizontal="center"/>
    </xf>
    <xf numFmtId="0" fontId="10" fillId="3" borderId="0" xfId="0" applyFont="1" applyFill="1"/>
    <xf numFmtId="0" fontId="11" fillId="3" borderId="13" xfId="0" applyFont="1" applyFill="1" applyBorder="1" applyAlignment="1">
      <alignment horizontal="right" vertical="center"/>
    </xf>
    <xf numFmtId="166" fontId="17" fillId="3" borderId="16" xfId="11" applyFont="1" applyFill="1" applyBorder="1" applyAlignment="1">
      <alignment horizontal="center"/>
    </xf>
    <xf numFmtId="164" fontId="17" fillId="3" borderId="0" xfId="0" applyNumberFormat="1" applyFont="1" applyFill="1"/>
    <xf numFmtId="165" fontId="10" fillId="3" borderId="1" xfId="10" applyFont="1" applyFill="1" applyBorder="1" applyAlignment="1">
      <alignment horizontal="center" vertical="center" wrapText="1"/>
    </xf>
    <xf numFmtId="165" fontId="10" fillId="3" borderId="1" xfId="0" applyNumberFormat="1" applyFont="1" applyFill="1" applyBorder="1" applyAlignment="1">
      <alignment horizontal="center" vertical="center" wrapText="1"/>
    </xf>
    <xf numFmtId="3" fontId="10" fillId="3" borderId="1" xfId="65" applyNumberFormat="1" applyFont="1" applyFill="1" applyBorder="1" applyAlignment="1">
      <alignment horizontal="right" vertical="center" wrapText="1"/>
    </xf>
    <xf numFmtId="166" fontId="17" fillId="3" borderId="16" xfId="11" applyFont="1" applyFill="1" applyBorder="1"/>
    <xf numFmtId="166" fontId="17" fillId="3" borderId="0" xfId="11" applyFont="1" applyFill="1" applyBorder="1" applyAlignment="1"/>
    <xf numFmtId="0" fontId="10" fillId="3" borderId="1" xfId="0" applyFont="1" applyFill="1" applyBorder="1" applyAlignment="1">
      <alignment vertical="center" wrapText="1"/>
    </xf>
    <xf numFmtId="174" fontId="10" fillId="3" borderId="1" xfId="10" applyNumberFormat="1" applyFont="1" applyFill="1" applyBorder="1" applyAlignment="1">
      <alignment horizontal="right" vertical="center" wrapText="1"/>
    </xf>
    <xf numFmtId="183" fontId="10" fillId="3" borderId="1" xfId="10" applyNumberFormat="1" applyFont="1" applyFill="1" applyBorder="1" applyAlignment="1">
      <alignment horizontal="right" vertical="center" wrapText="1"/>
    </xf>
    <xf numFmtId="166" fontId="10" fillId="3" borderId="16" xfId="11" applyFont="1" applyFill="1" applyBorder="1"/>
    <xf numFmtId="176" fontId="10" fillId="3" borderId="0" xfId="11" applyNumberFormat="1" applyFont="1" applyFill="1"/>
    <xf numFmtId="236" fontId="10" fillId="3" borderId="0" xfId="0" applyNumberFormat="1" applyFont="1" applyFill="1"/>
    <xf numFmtId="0" fontId="40" fillId="3" borderId="1" xfId="0" applyFont="1" applyFill="1" applyBorder="1" applyAlignment="1">
      <alignment horizontal="center" vertical="center" wrapText="1"/>
    </xf>
    <xf numFmtId="183" fontId="17" fillId="3" borderId="1" xfId="0" applyNumberFormat="1" applyFont="1" applyFill="1" applyBorder="1" applyAlignment="1">
      <alignment horizontal="right" vertical="center" wrapText="1"/>
    </xf>
    <xf numFmtId="167" fontId="10" fillId="3" borderId="0" xfId="0" applyNumberFormat="1" applyFont="1" applyFill="1" applyAlignment="1">
      <alignment horizontal="right" vertical="center" wrapText="1"/>
    </xf>
    <xf numFmtId="176" fontId="10" fillId="3" borderId="0" xfId="11" applyNumberFormat="1" applyFont="1" applyFill="1" applyBorder="1"/>
    <xf numFmtId="186" fontId="17" fillId="3" borderId="0" xfId="0" applyNumberFormat="1" applyFont="1" applyFill="1"/>
    <xf numFmtId="207" fontId="17" fillId="3" borderId="0" xfId="0" applyNumberFormat="1" applyFont="1" applyFill="1"/>
    <xf numFmtId="206" fontId="17" fillId="3" borderId="0" xfId="0" applyNumberFormat="1" applyFont="1" applyFill="1"/>
    <xf numFmtId="171" fontId="10" fillId="3" borderId="0" xfId="0" applyNumberFormat="1" applyFont="1" applyFill="1"/>
    <xf numFmtId="49" fontId="40" fillId="3" borderId="1" xfId="0" quotePrefix="1" applyNumberFormat="1" applyFont="1" applyFill="1" applyBorder="1" applyAlignment="1">
      <alignment horizontal="center" vertical="center" wrapText="1"/>
    </xf>
    <xf numFmtId="0" fontId="40" fillId="3" borderId="1" xfId="0" applyFont="1" applyFill="1" applyBorder="1" applyAlignment="1">
      <alignment horizontal="left" vertical="center" wrapText="1"/>
    </xf>
    <xf numFmtId="1" fontId="17" fillId="3" borderId="1" xfId="0" applyNumberFormat="1" applyFont="1" applyFill="1" applyBorder="1" applyAlignment="1">
      <alignment horizontal="center" vertical="center" wrapText="1"/>
    </xf>
    <xf numFmtId="183" fontId="40" fillId="0" borderId="1" xfId="10" applyNumberFormat="1" applyFont="1" applyFill="1" applyBorder="1" applyAlignment="1">
      <alignment horizontal="right" vertical="center" wrapText="1"/>
    </xf>
    <xf numFmtId="183" fontId="40" fillId="0" borderId="1" xfId="0" applyNumberFormat="1" applyFont="1" applyBorder="1" applyAlignment="1">
      <alignment vertical="center" wrapText="1"/>
    </xf>
    <xf numFmtId="167" fontId="10" fillId="0" borderId="0" xfId="0" applyNumberFormat="1" applyFont="1" applyAlignment="1">
      <alignment horizontal="right" vertical="center" wrapText="1"/>
    </xf>
    <xf numFmtId="176" fontId="10" fillId="0" borderId="0" xfId="11" applyNumberFormat="1" applyFont="1" applyFill="1" applyBorder="1"/>
    <xf numFmtId="171" fontId="10" fillId="0" borderId="0" xfId="0" applyNumberFormat="1" applyFont="1"/>
    <xf numFmtId="183" fontId="17" fillId="0" borderId="0" xfId="65" applyNumberFormat="1" applyFont="1" applyFill="1" applyAlignment="1">
      <alignment horizontal="right"/>
    </xf>
    <xf numFmtId="0" fontId="17" fillId="3" borderId="0" xfId="0" applyFont="1" applyFill="1" applyAlignment="1">
      <alignment horizontal="center"/>
    </xf>
    <xf numFmtId="183" fontId="17" fillId="3" borderId="0" xfId="65" applyNumberFormat="1" applyFont="1" applyFill="1" applyAlignment="1">
      <alignment horizontal="right"/>
    </xf>
    <xf numFmtId="166" fontId="17" fillId="0" borderId="0" xfId="11" applyFont="1" applyFill="1" applyBorder="1"/>
    <xf numFmtId="166" fontId="10" fillId="0" borderId="0" xfId="11" applyFont="1" applyFill="1" applyBorder="1"/>
    <xf numFmtId="167" fontId="10" fillId="0" borderId="0" xfId="0" applyNumberFormat="1" applyFont="1" applyAlignment="1">
      <alignment wrapText="1"/>
    </xf>
    <xf numFmtId="174" fontId="10" fillId="0" borderId="0" xfId="10" applyNumberFormat="1" applyFont="1" applyFill="1" applyBorder="1" applyAlignment="1">
      <alignment wrapText="1"/>
    </xf>
    <xf numFmtId="49" fontId="10" fillId="0" borderId="1" xfId="65" applyNumberFormat="1" applyFont="1" applyFill="1" applyBorder="1" applyAlignment="1">
      <alignment horizontal="center" vertical="center" wrapText="1"/>
    </xf>
    <xf numFmtId="49" fontId="10" fillId="0" borderId="1" xfId="10" applyNumberFormat="1" applyFont="1" applyFill="1" applyBorder="1" applyAlignment="1">
      <alignment horizontal="center" vertical="center" wrapText="1"/>
    </xf>
    <xf numFmtId="49" fontId="10" fillId="0" borderId="1" xfId="0" applyNumberFormat="1" applyFont="1" applyBorder="1" applyAlignment="1">
      <alignment horizontal="center" vertical="center" wrapText="1"/>
    </xf>
    <xf numFmtId="257" fontId="10" fillId="0" borderId="1" xfId="10" applyNumberFormat="1" applyFont="1" applyFill="1" applyBorder="1" applyAlignment="1">
      <alignment horizontal="right" vertical="center" wrapText="1"/>
    </xf>
    <xf numFmtId="257" fontId="10" fillId="0" borderId="1" xfId="10" applyNumberFormat="1" applyFont="1" applyFill="1" applyBorder="1" applyAlignment="1">
      <alignment vertical="center" wrapText="1"/>
    </xf>
    <xf numFmtId="257" fontId="17" fillId="0" borderId="1" xfId="10" applyNumberFormat="1" applyFont="1" applyFill="1" applyBorder="1" applyAlignment="1">
      <alignment vertical="center" wrapText="1"/>
    </xf>
    <xf numFmtId="257" fontId="17" fillId="0" borderId="1" xfId="11" applyNumberFormat="1" applyFont="1" applyFill="1" applyBorder="1" applyAlignment="1">
      <alignment vertical="center" wrapText="1"/>
    </xf>
    <xf numFmtId="164" fontId="37" fillId="3" borderId="0" xfId="0" applyNumberFormat="1" applyFont="1" applyFill="1" applyAlignment="1">
      <alignment vertical="center"/>
    </xf>
    <xf numFmtId="0" fontId="37" fillId="3" borderId="0" xfId="0" applyFont="1" applyFill="1" applyAlignment="1">
      <alignment vertical="center"/>
    </xf>
    <xf numFmtId="183" fontId="37" fillId="3" borderId="0" xfId="0" applyNumberFormat="1" applyFont="1" applyFill="1" applyAlignment="1">
      <alignment vertical="center"/>
    </xf>
    <xf numFmtId="164" fontId="38" fillId="3" borderId="0" xfId="0" applyNumberFormat="1" applyFont="1" applyFill="1" applyAlignment="1">
      <alignment vertical="center"/>
    </xf>
    <xf numFmtId="0" fontId="38" fillId="3" borderId="0" xfId="0" applyFont="1" applyFill="1" applyAlignment="1">
      <alignment vertical="center"/>
    </xf>
    <xf numFmtId="205" fontId="38" fillId="3" borderId="0" xfId="0" applyNumberFormat="1" applyFont="1" applyFill="1" applyAlignment="1">
      <alignment vertical="center"/>
    </xf>
    <xf numFmtId="4" fontId="38" fillId="3" borderId="0" xfId="0" applyNumberFormat="1" applyFont="1" applyFill="1" applyAlignment="1">
      <alignment vertical="center"/>
    </xf>
    <xf numFmtId="0" fontId="9" fillId="3" borderId="0" xfId="0" applyFont="1" applyFill="1" applyAlignment="1">
      <alignment horizontal="center" vertical="center" wrapText="1"/>
    </xf>
    <xf numFmtId="4" fontId="38" fillId="3" borderId="1" xfId="10" applyNumberFormat="1" applyFont="1" applyFill="1" applyBorder="1" applyAlignment="1">
      <alignment vertical="center"/>
    </xf>
    <xf numFmtId="183" fontId="38" fillId="3" borderId="0" xfId="0" applyNumberFormat="1" applyFont="1" applyFill="1" applyAlignment="1">
      <alignment vertical="center"/>
    </xf>
    <xf numFmtId="0" fontId="9" fillId="3" borderId="11" xfId="0" applyFont="1" applyFill="1" applyBorder="1" applyAlignment="1">
      <alignment horizontal="center" vertical="center" wrapText="1"/>
    </xf>
    <xf numFmtId="0" fontId="9" fillId="3" borderId="1" xfId="0" applyFont="1" applyFill="1" applyBorder="1" applyAlignment="1">
      <alignment horizontal="center" vertical="center" wrapText="1"/>
    </xf>
    <xf numFmtId="4" fontId="38" fillId="3" borderId="1" xfId="0" applyNumberFormat="1" applyFont="1" applyFill="1" applyBorder="1" applyAlignment="1">
      <alignment horizontal="right" vertical="center"/>
    </xf>
    <xf numFmtId="4" fontId="113" fillId="3" borderId="1" xfId="11" applyNumberFormat="1" applyFont="1" applyFill="1" applyBorder="1" applyAlignment="1">
      <alignment horizontal="right" vertical="center"/>
    </xf>
    <xf numFmtId="4" fontId="38" fillId="3" borderId="1" xfId="11" applyNumberFormat="1" applyFont="1" applyFill="1" applyBorder="1" applyAlignment="1">
      <alignment vertical="center"/>
    </xf>
    <xf numFmtId="4" fontId="15" fillId="3" borderId="1" xfId="0" applyNumberFormat="1" applyFont="1" applyFill="1" applyBorder="1" applyAlignment="1">
      <alignment horizontal="right" vertical="center"/>
    </xf>
    <xf numFmtId="4" fontId="15" fillId="3" borderId="1" xfId="0" applyNumberFormat="1" applyFont="1" applyFill="1" applyBorder="1" applyAlignment="1">
      <alignment vertical="center"/>
    </xf>
    <xf numFmtId="4" fontId="15" fillId="3" borderId="1" xfId="11" applyNumberFormat="1" applyFont="1" applyFill="1" applyBorder="1" applyAlignment="1">
      <alignment horizontal="right" vertical="center"/>
    </xf>
    <xf numFmtId="4" fontId="37" fillId="3" borderId="1" xfId="0" applyNumberFormat="1" applyFont="1" applyFill="1" applyBorder="1" applyAlignment="1">
      <alignment vertical="center"/>
    </xf>
    <xf numFmtId="4" fontId="113" fillId="3" borderId="1" xfId="0" applyNumberFormat="1" applyFont="1" applyFill="1" applyBorder="1" applyAlignment="1">
      <alignment vertical="center"/>
    </xf>
    <xf numFmtId="0" fontId="50" fillId="0" borderId="22" xfId="0" applyFont="1" applyBorder="1" applyAlignment="1">
      <alignment horizontal="left" vertical="center" wrapText="1"/>
    </xf>
    <xf numFmtId="0" fontId="50" fillId="0" borderId="1" xfId="166" applyFont="1" applyBorder="1" applyAlignment="1">
      <alignment horizontal="center" vertical="center"/>
    </xf>
    <xf numFmtId="185" fontId="38" fillId="0" borderId="0" xfId="0" applyNumberFormat="1" applyFont="1"/>
    <xf numFmtId="193" fontId="27" fillId="0" borderId="1" xfId="166" applyNumberFormat="1" applyFont="1" applyBorder="1" applyAlignment="1">
      <alignment horizontal="right" vertical="center"/>
    </xf>
    <xf numFmtId="4" fontId="50" fillId="0" borderId="1" xfId="166" applyNumberFormat="1" applyFont="1" applyBorder="1" applyAlignment="1">
      <alignment horizontal="right" vertical="center"/>
    </xf>
    <xf numFmtId="3" fontId="50" fillId="0" borderId="1" xfId="166" applyNumberFormat="1" applyFont="1" applyBorder="1" applyAlignment="1">
      <alignment horizontal="right" vertical="center"/>
    </xf>
    <xf numFmtId="183" fontId="50" fillId="0" borderId="1" xfId="166" applyNumberFormat="1" applyFont="1" applyBorder="1" applyAlignment="1">
      <alignment horizontal="right" vertical="center"/>
    </xf>
    <xf numFmtId="0" fontId="50" fillId="0" borderId="1" xfId="166" applyFont="1" applyBorder="1" applyAlignment="1">
      <alignment horizontal="left" vertical="center" wrapText="1"/>
    </xf>
    <xf numFmtId="183" fontId="27" fillId="0" borderId="1" xfId="166" applyNumberFormat="1" applyFont="1" applyBorder="1" applyAlignment="1">
      <alignment horizontal="right" vertical="center"/>
    </xf>
    <xf numFmtId="167" fontId="50" fillId="0" borderId="1" xfId="166" applyNumberFormat="1" applyFont="1" applyBorder="1" applyAlignment="1">
      <alignment horizontal="right" vertical="center"/>
    </xf>
    <xf numFmtId="3" fontId="50" fillId="0" borderId="1" xfId="166" applyNumberFormat="1" applyFont="1" applyBorder="1" applyAlignment="1">
      <alignment vertical="center"/>
    </xf>
    <xf numFmtId="183" fontId="50" fillId="0" borderId="1" xfId="166" applyNumberFormat="1" applyFont="1" applyBorder="1" applyAlignment="1">
      <alignment vertical="center"/>
    </xf>
    <xf numFmtId="0" fontId="50" fillId="0" borderId="1" xfId="166" applyFont="1" applyBorder="1" applyAlignment="1">
      <alignment horizontal="left" vertical="center"/>
    </xf>
    <xf numFmtId="0" fontId="47" fillId="0" borderId="1" xfId="166" applyFont="1" applyBorder="1" applyAlignment="1">
      <alignment horizontal="left" vertical="center"/>
    </xf>
    <xf numFmtId="3" fontId="47" fillId="0" borderId="1" xfId="166" applyNumberFormat="1" applyFont="1" applyBorder="1" applyAlignment="1">
      <alignment vertical="center"/>
    </xf>
    <xf numFmtId="183" fontId="47" fillId="0" borderId="1" xfId="166" applyNumberFormat="1" applyFont="1" applyBorder="1" applyAlignment="1">
      <alignment vertical="center"/>
    </xf>
    <xf numFmtId="193" fontId="47" fillId="0" borderId="1" xfId="0" applyNumberFormat="1" applyFont="1" applyBorder="1"/>
    <xf numFmtId="196" fontId="47" fillId="26" borderId="1" xfId="0" applyNumberFormat="1" applyFont="1" applyFill="1" applyBorder="1"/>
    <xf numFmtId="183" fontId="47" fillId="26" borderId="1" xfId="0" applyNumberFormat="1" applyFont="1" applyFill="1" applyBorder="1"/>
    <xf numFmtId="193" fontId="47" fillId="26" borderId="1" xfId="0" applyNumberFormat="1" applyFont="1" applyFill="1" applyBorder="1"/>
    <xf numFmtId="0" fontId="50" fillId="0" borderId="1" xfId="166" applyFont="1" applyBorder="1" applyAlignment="1">
      <alignment horizontal="justify" vertical="center" wrapText="1"/>
    </xf>
    <xf numFmtId="185" fontId="50" fillId="0" borderId="1" xfId="0" applyNumberFormat="1" applyFont="1" applyBorder="1" applyAlignment="1">
      <alignment wrapText="1"/>
    </xf>
    <xf numFmtId="193" fontId="50" fillId="0" borderId="1" xfId="0" applyNumberFormat="1" applyFont="1" applyBorder="1" applyAlignment="1">
      <alignment wrapText="1"/>
    </xf>
    <xf numFmtId="189" fontId="50" fillId="0" borderId="1" xfId="0" applyNumberFormat="1" applyFont="1" applyBorder="1" applyAlignment="1">
      <alignment wrapText="1"/>
    </xf>
    <xf numFmtId="3" fontId="47" fillId="0" borderId="1" xfId="166" applyNumberFormat="1" applyFont="1" applyBorder="1" applyAlignment="1">
      <alignment horizontal="right" vertical="center"/>
    </xf>
    <xf numFmtId="183" fontId="47" fillId="0" borderId="1" xfId="166" applyNumberFormat="1" applyFont="1" applyBorder="1" applyAlignment="1">
      <alignment horizontal="right" vertical="center"/>
    </xf>
    <xf numFmtId="167" fontId="47" fillId="0" borderId="1" xfId="166" applyNumberFormat="1" applyFont="1" applyBorder="1" applyAlignment="1">
      <alignment horizontal="right" vertical="center"/>
    </xf>
    <xf numFmtId="189" fontId="8" fillId="0" borderId="1" xfId="166" applyNumberFormat="1" applyFont="1" applyBorder="1" applyAlignment="1">
      <alignment horizontal="right" vertical="center"/>
    </xf>
    <xf numFmtId="167" fontId="50" fillId="0" borderId="1" xfId="166" applyNumberFormat="1" applyFont="1" applyBorder="1" applyAlignment="1">
      <alignment vertical="center"/>
    </xf>
    <xf numFmtId="167" fontId="47" fillId="0" borderId="1" xfId="166" applyNumberFormat="1" applyFont="1" applyBorder="1" applyAlignment="1">
      <alignment vertical="center"/>
    </xf>
    <xf numFmtId="183" fontId="187" fillId="0" borderId="1" xfId="166" applyNumberFormat="1" applyFont="1" applyBorder="1" applyAlignment="1">
      <alignment vertical="center"/>
    </xf>
    <xf numFmtId="3" fontId="187" fillId="0" borderId="1" xfId="166" applyNumberFormat="1" applyFont="1" applyBorder="1" applyAlignment="1">
      <alignment vertical="center"/>
    </xf>
    <xf numFmtId="183" fontId="189" fillId="0" borderId="1" xfId="166" applyNumberFormat="1" applyFont="1" applyBorder="1" applyAlignment="1">
      <alignment horizontal="right" vertical="center"/>
    </xf>
    <xf numFmtId="183" fontId="8" fillId="0" borderId="1" xfId="0" applyNumberFormat="1" applyFont="1" applyBorder="1" applyAlignment="1">
      <alignment horizontal="right"/>
    </xf>
    <xf numFmtId="0" fontId="139" fillId="0" borderId="1" xfId="0" applyFont="1" applyBorder="1" applyAlignment="1">
      <alignment horizontal="justify" vertical="center" wrapText="1"/>
    </xf>
    <xf numFmtId="0" fontId="208" fillId="0" borderId="1" xfId="0" applyFont="1" applyBorder="1" applyAlignment="1">
      <alignment horizontal="justify" vertical="center" wrapText="1"/>
    </xf>
    <xf numFmtId="0" fontId="38" fillId="0" borderId="1" xfId="0" applyFont="1" applyBorder="1" applyAlignment="1">
      <alignment horizontal="justify" vertical="center" wrapText="1"/>
    </xf>
    <xf numFmtId="183" fontId="194" fillId="0" borderId="1" xfId="11" applyNumberFormat="1" applyFont="1" applyBorder="1" applyAlignment="1">
      <alignment horizontal="right" vertical="center"/>
    </xf>
    <xf numFmtId="43" fontId="139" fillId="0" borderId="7" xfId="167" applyFont="1" applyFill="1" applyBorder="1" applyAlignment="1">
      <alignment horizontal="left" vertical="center" wrapText="1"/>
    </xf>
    <xf numFmtId="183" fontId="194" fillId="0" borderId="1" xfId="11" applyNumberFormat="1" applyFont="1" applyFill="1" applyBorder="1" applyAlignment="1">
      <alignment horizontal="right" vertical="center"/>
    </xf>
    <xf numFmtId="166" fontId="44" fillId="0" borderId="1" xfId="11" applyFont="1" applyBorder="1" applyAlignment="1">
      <alignment horizontal="right" vertical="center" wrapText="1"/>
    </xf>
    <xf numFmtId="39" fontId="178" fillId="0" borderId="1" xfId="11" applyNumberFormat="1" applyFont="1" applyBorder="1" applyAlignment="1">
      <alignment horizontal="right" vertical="center"/>
    </xf>
    <xf numFmtId="259" fontId="178" fillId="0" borderId="1" xfId="11" applyNumberFormat="1" applyFont="1" applyBorder="1" applyAlignment="1">
      <alignment horizontal="right" vertical="center"/>
    </xf>
    <xf numFmtId="4" fontId="209" fillId="0" borderId="1" xfId="11" applyNumberFormat="1" applyFont="1" applyBorder="1" applyAlignment="1">
      <alignment horizontal="right" vertical="center"/>
    </xf>
    <xf numFmtId="4" fontId="210" fillId="0" borderId="0" xfId="4" applyNumberFormat="1" applyFont="1" applyAlignment="1">
      <alignment vertical="center" wrapText="1"/>
    </xf>
    <xf numFmtId="167" fontId="211" fillId="0" borderId="0" xfId="4" applyNumberFormat="1" applyFont="1" applyAlignment="1">
      <alignment vertical="center" wrapText="1"/>
    </xf>
    <xf numFmtId="167" fontId="212" fillId="0" borderId="0" xfId="0" applyNumberFormat="1" applyFont="1" applyAlignment="1">
      <alignment vertical="center"/>
    </xf>
    <xf numFmtId="167" fontId="213" fillId="0" borderId="0" xfId="0" applyNumberFormat="1" applyFont="1" applyAlignment="1">
      <alignment vertical="center"/>
    </xf>
    <xf numFmtId="167" fontId="211" fillId="0" borderId="0" xfId="0" applyNumberFormat="1" applyFont="1" applyAlignment="1">
      <alignment vertical="center"/>
    </xf>
    <xf numFmtId="167" fontId="214" fillId="0" borderId="0" xfId="0" applyNumberFormat="1" applyFont="1" applyAlignment="1">
      <alignment vertical="center"/>
    </xf>
    <xf numFmtId="166" fontId="212" fillId="0" borderId="0" xfId="11" applyFont="1" applyAlignment="1">
      <alignment vertical="center"/>
    </xf>
    <xf numFmtId="166" fontId="214" fillId="0" borderId="0" xfId="11" applyFont="1" applyAlignment="1">
      <alignment vertical="center"/>
    </xf>
    <xf numFmtId="166" fontId="213" fillId="0" borderId="0" xfId="11" applyFont="1" applyAlignment="1">
      <alignment vertical="center"/>
    </xf>
    <xf numFmtId="0" fontId="14" fillId="0" borderId="0" xfId="0" applyFont="1" applyAlignment="1">
      <alignment horizontal="right" vertical="center"/>
    </xf>
    <xf numFmtId="166" fontId="203" fillId="0" borderId="1" xfId="11" applyFont="1" applyBorder="1" applyAlignment="1">
      <alignment horizontal="right" vertical="center" wrapText="1"/>
    </xf>
    <xf numFmtId="166" fontId="31" fillId="0" borderId="1" xfId="11" applyFont="1" applyBorder="1" applyAlignment="1">
      <alignment horizontal="right" vertical="center" wrapText="1"/>
    </xf>
    <xf numFmtId="166" fontId="33" fillId="0" borderId="1" xfId="11" applyFont="1" applyBorder="1" applyAlignment="1">
      <alignment horizontal="right" vertical="center" wrapText="1"/>
    </xf>
    <xf numFmtId="166" fontId="32" fillId="0" borderId="1" xfId="11" applyFont="1" applyBorder="1" applyAlignment="1">
      <alignment horizontal="right" vertical="center" wrapText="1"/>
    </xf>
    <xf numFmtId="166" fontId="9" fillId="0" borderId="1" xfId="11" applyFont="1" applyBorder="1" applyAlignment="1">
      <alignment horizontal="right" vertical="center" wrapText="1"/>
    </xf>
    <xf numFmtId="166" fontId="36" fillId="0" borderId="1" xfId="11" applyFont="1" applyBorder="1" applyAlignment="1">
      <alignment horizontal="right" vertical="center" wrapText="1"/>
    </xf>
    <xf numFmtId="166" fontId="50" fillId="0" borderId="1" xfId="11" applyFont="1" applyBorder="1" applyAlignment="1">
      <alignment horizontal="right" vertical="center" wrapText="1"/>
    </xf>
    <xf numFmtId="166" fontId="47" fillId="0" borderId="1" xfId="11" applyFont="1" applyBorder="1" applyAlignment="1">
      <alignment horizontal="right" vertical="center" wrapText="1"/>
    </xf>
    <xf numFmtId="166" fontId="55" fillId="0" borderId="1" xfId="11" applyFont="1" applyBorder="1" applyAlignment="1">
      <alignment horizontal="right" vertical="center" wrapText="1"/>
    </xf>
    <xf numFmtId="166" fontId="110" fillId="0" borderId="1" xfId="11" applyFont="1" applyBorder="1" applyAlignment="1">
      <alignment vertical="center"/>
    </xf>
    <xf numFmtId="166" fontId="41" fillId="0" borderId="1" xfId="11" applyFont="1" applyBorder="1"/>
    <xf numFmtId="166" fontId="0" fillId="0" borderId="1" xfId="11" applyFont="1" applyBorder="1"/>
    <xf numFmtId="0" fontId="181" fillId="0" borderId="1" xfId="0" applyFont="1" applyBorder="1" applyAlignment="1">
      <alignment horizontal="center" vertical="center" wrapText="1"/>
    </xf>
    <xf numFmtId="0" fontId="181" fillId="0" borderId="13" xfId="0" applyFont="1" applyBorder="1" applyAlignment="1">
      <alignment vertical="center" wrapText="1"/>
    </xf>
    <xf numFmtId="0" fontId="181" fillId="0" borderId="40" xfId="0" applyFont="1" applyBorder="1" applyAlignment="1">
      <alignment horizontal="center" vertical="center" wrapText="1"/>
    </xf>
    <xf numFmtId="0" fontId="181" fillId="0" borderId="13" xfId="0" applyFont="1" applyBorder="1" applyAlignment="1">
      <alignment horizontal="center" vertical="center" wrapText="1"/>
    </xf>
    <xf numFmtId="3" fontId="181" fillId="0" borderId="1" xfId="0" applyNumberFormat="1" applyFont="1" applyBorder="1" applyAlignment="1">
      <alignment horizontal="center" vertical="center" wrapText="1"/>
    </xf>
    <xf numFmtId="183" fontId="181" fillId="0" borderId="1" xfId="0" applyNumberFormat="1" applyFont="1" applyBorder="1" applyAlignment="1">
      <alignment horizontal="center" vertical="center" wrapText="1"/>
    </xf>
    <xf numFmtId="0" fontId="180" fillId="0" borderId="1" xfId="0" applyFont="1" applyBorder="1" applyAlignment="1">
      <alignment horizontal="center" vertical="center" wrapText="1"/>
    </xf>
    <xf numFmtId="0" fontId="181" fillId="0" borderId="1" xfId="0" applyFont="1" applyBorder="1" applyAlignment="1">
      <alignment vertical="center" wrapText="1"/>
    </xf>
    <xf numFmtId="183" fontId="181" fillId="0" borderId="1" xfId="0" applyNumberFormat="1" applyFont="1" applyBorder="1" applyAlignment="1">
      <alignment horizontal="right" vertical="center" wrapText="1"/>
    </xf>
    <xf numFmtId="0" fontId="180" fillId="0" borderId="1" xfId="0" applyFont="1" applyBorder="1" applyAlignment="1">
      <alignment vertical="center" wrapText="1"/>
    </xf>
    <xf numFmtId="3" fontId="180" fillId="0" borderId="1" xfId="0" applyNumberFormat="1" applyFont="1" applyBorder="1" applyAlignment="1">
      <alignment horizontal="center" vertical="center" wrapText="1"/>
    </xf>
    <xf numFmtId="183" fontId="180" fillId="0" borderId="1" xfId="0" applyNumberFormat="1" applyFont="1" applyBorder="1" applyAlignment="1">
      <alignment horizontal="center" vertical="center" wrapText="1"/>
    </xf>
    <xf numFmtId="183" fontId="180" fillId="0" borderId="1" xfId="0" applyNumberFormat="1" applyFont="1" applyBorder="1" applyAlignment="1">
      <alignment horizontal="right" vertical="center" wrapText="1"/>
    </xf>
    <xf numFmtId="0" fontId="151" fillId="0" borderId="1" xfId="0" applyFont="1" applyBorder="1" applyAlignment="1">
      <alignment horizontal="left" vertical="center" wrapText="1"/>
    </xf>
    <xf numFmtId="0" fontId="151" fillId="30" borderId="1" xfId="0" applyFont="1" applyFill="1" applyBorder="1" applyAlignment="1">
      <alignment horizontal="left" vertical="center" wrapText="1"/>
    </xf>
    <xf numFmtId="0" fontId="136" fillId="30" borderId="1" xfId="0" applyFont="1" applyFill="1" applyBorder="1" applyAlignment="1">
      <alignment horizontal="left" vertical="center" wrapText="1"/>
    </xf>
    <xf numFmtId="0" fontId="151" fillId="3" borderId="1" xfId="0" quotePrefix="1" applyFont="1" applyFill="1" applyBorder="1" applyAlignment="1">
      <alignment horizontal="left" vertical="center" wrapText="1"/>
    </xf>
    <xf numFmtId="0" fontId="151" fillId="3" borderId="1" xfId="0" applyFont="1" applyFill="1" applyBorder="1" applyAlignment="1">
      <alignment horizontal="left" vertical="center" wrapText="1"/>
    </xf>
    <xf numFmtId="2" fontId="183" fillId="3" borderId="1" xfId="0" applyNumberFormat="1" applyFont="1" applyFill="1" applyBorder="1" applyAlignment="1">
      <alignment vertical="center" wrapText="1"/>
    </xf>
    <xf numFmtId="183" fontId="207" fillId="0" borderId="0" xfId="0" applyNumberFormat="1" applyFont="1" applyAlignment="1">
      <alignment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justify" vertical="center" wrapText="1"/>
    </xf>
    <xf numFmtId="0" fontId="13" fillId="0" borderId="2" xfId="0" applyFont="1" applyBorder="1" applyAlignment="1">
      <alignment horizontal="justify" vertical="center" wrapText="1"/>
    </xf>
    <xf numFmtId="0" fontId="13" fillId="0" borderId="3" xfId="0" applyFont="1" applyBorder="1" applyAlignment="1">
      <alignment horizontal="justify" vertical="center" wrapText="1"/>
    </xf>
    <xf numFmtId="0" fontId="13" fillId="0" borderId="4" xfId="0" applyFont="1" applyBorder="1" applyAlignment="1">
      <alignment horizontal="justify" vertical="center" wrapText="1"/>
    </xf>
    <xf numFmtId="0" fontId="17" fillId="0" borderId="0" xfId="0" applyFont="1" applyAlignment="1">
      <alignment horizontal="center" vertical="center"/>
    </xf>
    <xf numFmtId="0" fontId="13"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10" fillId="3" borderId="1" xfId="55" applyFont="1" applyFill="1" applyBorder="1" applyAlignment="1">
      <alignment horizontal="center" vertical="center" wrapText="1"/>
    </xf>
    <xf numFmtId="3" fontId="117" fillId="3" borderId="26" xfId="0" applyNumberFormat="1" applyFont="1" applyFill="1" applyBorder="1" applyAlignment="1">
      <alignment horizontal="center" vertical="center" wrapText="1"/>
    </xf>
    <xf numFmtId="3" fontId="117" fillId="3" borderId="38" xfId="0" applyNumberFormat="1" applyFont="1" applyFill="1" applyBorder="1" applyAlignment="1">
      <alignment horizontal="center" vertical="center" wrapText="1"/>
    </xf>
    <xf numFmtId="0" fontId="80" fillId="3" borderId="3" xfId="55" applyFont="1" applyFill="1" applyBorder="1" applyAlignment="1">
      <alignment horizontal="center" vertical="center" wrapText="1"/>
    </xf>
    <xf numFmtId="3" fontId="117" fillId="3" borderId="1" xfId="0" applyNumberFormat="1" applyFont="1" applyFill="1" applyBorder="1" applyAlignment="1">
      <alignment horizontal="center" vertical="center"/>
    </xf>
    <xf numFmtId="0" fontId="10" fillId="3" borderId="0" xfId="55" applyFont="1" applyFill="1" applyAlignment="1">
      <alignment horizontal="center" vertical="center"/>
    </xf>
    <xf numFmtId="0" fontId="10" fillId="3" borderId="0" xfId="55" applyFont="1" applyFill="1" applyAlignment="1">
      <alignment horizontal="center" vertical="center" wrapText="1"/>
    </xf>
    <xf numFmtId="0" fontId="80" fillId="3" borderId="13" xfId="55" applyFont="1" applyFill="1" applyBorder="1" applyAlignment="1">
      <alignment horizontal="center" vertical="center"/>
    </xf>
    <xf numFmtId="0" fontId="80" fillId="3" borderId="0" xfId="55" applyFont="1" applyFill="1" applyAlignment="1">
      <alignment horizontal="center" vertical="center" wrapText="1"/>
    </xf>
    <xf numFmtId="0" fontId="10" fillId="3" borderId="33" xfId="55" applyFont="1" applyFill="1" applyBorder="1" applyAlignment="1">
      <alignment horizontal="center" vertical="center" wrapText="1"/>
    </xf>
    <xf numFmtId="3" fontId="10" fillId="3" borderId="1" xfId="55" applyNumberFormat="1" applyFont="1" applyFill="1" applyBorder="1" applyAlignment="1">
      <alignment horizontal="center" vertical="center" wrapText="1"/>
    </xf>
    <xf numFmtId="3" fontId="10" fillId="3" borderId="33" xfId="55" applyNumberFormat="1" applyFont="1" applyFill="1" applyBorder="1" applyAlignment="1">
      <alignment horizontal="center" vertical="center" wrapText="1"/>
    </xf>
    <xf numFmtId="0" fontId="10" fillId="3" borderId="10" xfId="55" applyFont="1" applyFill="1" applyBorder="1" applyAlignment="1">
      <alignment horizontal="center" vertical="center" wrapText="1"/>
    </xf>
    <xf numFmtId="0" fontId="10" fillId="3" borderId="11" xfId="55" applyFont="1" applyFill="1" applyBorder="1" applyAlignment="1">
      <alignment horizontal="center" vertical="center" wrapText="1"/>
    </xf>
    <xf numFmtId="0" fontId="10" fillId="3" borderId="12" xfId="55" applyFont="1" applyFill="1" applyBorder="1" applyAlignment="1">
      <alignment horizontal="center" vertical="center" wrapText="1"/>
    </xf>
    <xf numFmtId="0" fontId="87" fillId="0" borderId="7" xfId="0" applyFont="1" applyBorder="1" applyAlignment="1">
      <alignment horizontal="left" vertical="center" wrapText="1"/>
    </xf>
    <xf numFmtId="0" fontId="87" fillId="0" borderId="0" xfId="0" applyFont="1" applyAlignment="1">
      <alignment horizontal="center"/>
    </xf>
    <xf numFmtId="0" fontId="21" fillId="0" borderId="0" xfId="0" applyFont="1" applyAlignment="1">
      <alignment horizontal="center" wrapText="1"/>
    </xf>
    <xf numFmtId="0" fontId="21" fillId="0" borderId="0" xfId="0" applyFont="1" applyAlignment="1">
      <alignment horizontal="center"/>
    </xf>
    <xf numFmtId="0" fontId="71" fillId="0" borderId="0" xfId="0" applyFont="1" applyAlignment="1">
      <alignment horizontal="center"/>
    </xf>
    <xf numFmtId="0" fontId="87" fillId="0" borderId="42" xfId="2" applyFont="1" applyBorder="1" applyAlignment="1">
      <alignment horizontal="left" vertical="center" wrapText="1"/>
    </xf>
    <xf numFmtId="0" fontId="87" fillId="0" borderId="43" xfId="2" applyFont="1" applyBorder="1" applyAlignment="1">
      <alignment horizontal="left" vertical="center" wrapText="1"/>
    </xf>
    <xf numFmtId="0" fontId="87" fillId="0" borderId="44" xfId="2" applyFont="1" applyBorder="1" applyAlignment="1">
      <alignment horizontal="left" vertical="center" wrapText="1"/>
    </xf>
    <xf numFmtId="0" fontId="87" fillId="0" borderId="39" xfId="2" applyFont="1" applyBorder="1" applyAlignment="1">
      <alignment horizontal="left" vertical="center" wrapText="1"/>
    </xf>
    <xf numFmtId="0" fontId="87" fillId="0" borderId="46" xfId="2" applyFont="1" applyBorder="1" applyAlignment="1">
      <alignment horizontal="left" vertical="center" wrapText="1"/>
    </xf>
    <xf numFmtId="0" fontId="87" fillId="0" borderId="47" xfId="2" applyFont="1" applyBorder="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10" fillId="0" borderId="21" xfId="0" applyFont="1" applyBorder="1" applyAlignment="1">
      <alignment horizontal="center" vertical="center" wrapText="1"/>
    </xf>
    <xf numFmtId="0" fontId="10" fillId="0" borderId="0" xfId="0" applyFont="1" applyAlignment="1">
      <alignment horizontal="center" vertical="center" wrapText="1"/>
    </xf>
    <xf numFmtId="0" fontId="71" fillId="0" borderId="0" xfId="0" applyFont="1" applyAlignment="1">
      <alignment horizontal="center" vertical="center" wrapText="1"/>
    </xf>
    <xf numFmtId="0" fontId="10" fillId="0" borderId="1" xfId="0" applyFont="1" applyBorder="1" applyAlignment="1">
      <alignment horizontal="center" vertical="center" wrapText="1"/>
    </xf>
    <xf numFmtId="167" fontId="10" fillId="0" borderId="1" xfId="0" applyNumberFormat="1" applyFont="1" applyBorder="1" applyAlignment="1">
      <alignment horizontal="center" vertical="center" wrapText="1"/>
    </xf>
    <xf numFmtId="0" fontId="10" fillId="0" borderId="33" xfId="0" applyFont="1" applyBorder="1" applyAlignment="1">
      <alignment horizontal="center" vertical="center" wrapText="1"/>
    </xf>
    <xf numFmtId="0" fontId="10" fillId="0" borderId="4" xfId="0" applyFont="1" applyBorder="1" applyAlignment="1">
      <alignment horizontal="center" vertical="center" wrapText="1"/>
    </xf>
    <xf numFmtId="0" fontId="55" fillId="0" borderId="0" xfId="0" applyFont="1" applyAlignment="1">
      <alignment horizontal="center" vertical="center" wrapText="1"/>
    </xf>
    <xf numFmtId="184" fontId="151" fillId="26" borderId="0" xfId="11" applyNumberFormat="1" applyFont="1" applyFill="1" applyAlignment="1">
      <alignment horizontal="center" wrapText="1"/>
    </xf>
    <xf numFmtId="0" fontId="11" fillId="0" borderId="0" xfId="0" applyFont="1" applyAlignment="1">
      <alignment horizontal="center" vertical="center" wrapText="1"/>
    </xf>
    <xf numFmtId="0" fontId="50" fillId="0" borderId="0" xfId="0" applyFont="1" applyAlignment="1">
      <alignment horizontal="center" vertical="center"/>
    </xf>
    <xf numFmtId="0" fontId="50" fillId="0" borderId="0" xfId="0" applyFont="1" applyAlignment="1">
      <alignment horizontal="center" vertical="center" wrapText="1"/>
    </xf>
    <xf numFmtId="0" fontId="39" fillId="0" borderId="13" xfId="0" applyFont="1" applyBorder="1" applyAlignment="1">
      <alignment horizontal="right" vertical="center"/>
    </xf>
    <xf numFmtId="0" fontId="50" fillId="0" borderId="1" xfId="0" applyFont="1" applyBorder="1" applyAlignment="1">
      <alignment horizontal="center" vertical="center" wrapText="1"/>
    </xf>
    <xf numFmtId="183" fontId="50" fillId="0" borderId="1" xfId="0" applyNumberFormat="1" applyFont="1" applyBorder="1" applyAlignment="1">
      <alignment horizontal="center" vertical="center" wrapText="1"/>
    </xf>
    <xf numFmtId="0" fontId="11" fillId="0" borderId="13" xfId="0" applyFont="1" applyBorder="1" applyAlignment="1">
      <alignment horizontal="center" vertical="center"/>
    </xf>
    <xf numFmtId="0" fontId="37" fillId="0" borderId="0" xfId="0" applyFont="1" applyAlignment="1">
      <alignment horizontal="left"/>
    </xf>
    <xf numFmtId="0" fontId="37" fillId="0" borderId="0" xfId="0" applyFont="1" applyAlignment="1">
      <alignment horizontal="center" vertical="center" wrapText="1"/>
    </xf>
    <xf numFmtId="0" fontId="37" fillId="0" borderId="1" xfId="0" applyFont="1" applyBorder="1" applyAlignment="1">
      <alignment horizontal="center" vertical="center" wrapText="1"/>
    </xf>
    <xf numFmtId="167" fontId="37" fillId="0" borderId="1" xfId="0" applyNumberFormat="1" applyFont="1" applyBorder="1" applyAlignment="1">
      <alignment horizontal="center" vertical="center" wrapText="1"/>
    </xf>
    <xf numFmtId="167" fontId="37" fillId="0" borderId="1" xfId="10" applyNumberFormat="1" applyFont="1" applyBorder="1" applyAlignment="1">
      <alignment horizontal="center" vertical="center" wrapText="1"/>
    </xf>
    <xf numFmtId="167" fontId="37" fillId="0" borderId="1" xfId="10" applyNumberFormat="1" applyFont="1" applyFill="1" applyBorder="1" applyAlignment="1">
      <alignment horizontal="center" vertical="center" wrapText="1"/>
    </xf>
    <xf numFmtId="0" fontId="114" fillId="0" borderId="0" xfId="0" applyFont="1" applyAlignment="1">
      <alignment horizontal="center" vertical="center" wrapText="1"/>
    </xf>
    <xf numFmtId="0" fontId="11" fillId="0" borderId="13" xfId="0" applyFont="1" applyBorder="1" applyAlignment="1">
      <alignment horizontal="right" vertical="center"/>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55" fillId="3" borderId="13" xfId="0" applyFont="1" applyFill="1" applyBorder="1" applyAlignment="1">
      <alignment horizontal="center" wrapText="1"/>
    </xf>
    <xf numFmtId="0" fontId="50" fillId="3" borderId="0" xfId="0" applyFont="1" applyFill="1" applyAlignment="1">
      <alignment horizontal="center" wrapText="1"/>
    </xf>
    <xf numFmtId="0" fontId="10" fillId="3" borderId="0" xfId="0" applyFont="1" applyFill="1" applyAlignment="1">
      <alignment horizontal="left" vertical="center" wrapText="1"/>
    </xf>
    <xf numFmtId="0" fontId="50" fillId="3" borderId="0" xfId="0" applyFont="1" applyFill="1" applyAlignment="1">
      <alignment horizontal="center" vertical="center" wrapText="1"/>
    </xf>
    <xf numFmtId="0" fontId="69" fillId="3" borderId="0" xfId="0" applyFont="1" applyFill="1" applyAlignment="1">
      <alignment horizontal="center" vertical="center" wrapText="1"/>
    </xf>
    <xf numFmtId="0" fontId="50" fillId="3" borderId="33" xfId="0" applyFont="1" applyFill="1" applyBorder="1" applyAlignment="1">
      <alignment horizontal="center" vertical="center" wrapText="1"/>
    </xf>
    <xf numFmtId="0" fontId="50" fillId="3" borderId="4"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12" xfId="0" applyFont="1" applyFill="1" applyBorder="1" applyAlignment="1">
      <alignment horizontal="center" vertical="center" wrapText="1"/>
    </xf>
    <xf numFmtId="0" fontId="71" fillId="0" borderId="13" xfId="0" applyFont="1" applyBorder="1" applyAlignment="1">
      <alignment horizontal="center" vertical="center"/>
    </xf>
    <xf numFmtId="3" fontId="50" fillId="0" borderId="1" xfId="0" applyNumberFormat="1" applyFont="1" applyBorder="1" applyAlignment="1">
      <alignment horizontal="center" vertical="center" wrapText="1"/>
    </xf>
    <xf numFmtId="167" fontId="50" fillId="0" borderId="1" xfId="0" applyNumberFormat="1" applyFont="1" applyBorder="1" applyAlignment="1">
      <alignment horizontal="center" vertical="center" wrapText="1"/>
    </xf>
    <xf numFmtId="231" fontId="50" fillId="0" borderId="1" xfId="0" applyNumberFormat="1" applyFont="1" applyBorder="1" applyAlignment="1">
      <alignment horizontal="center" vertical="center" wrapText="1"/>
    </xf>
    <xf numFmtId="0" fontId="87" fillId="0" borderId="0" xfId="0" applyFont="1" applyAlignment="1">
      <alignment horizontal="center" vertical="center"/>
    </xf>
    <xf numFmtId="0" fontId="71" fillId="0" borderId="0" xfId="0" applyFont="1" applyAlignment="1">
      <alignment horizontal="center" vertical="center"/>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52" fillId="0" borderId="1" xfId="0" applyFont="1" applyBorder="1" applyAlignment="1">
      <alignment horizontal="center" vertical="center" wrapText="1"/>
    </xf>
    <xf numFmtId="0" fontId="91" fillId="0" borderId="1" xfId="0" applyFont="1" applyBorder="1" applyAlignment="1">
      <alignment horizontal="center" vertical="center" wrapText="1"/>
    </xf>
    <xf numFmtId="0" fontId="84" fillId="0" borderId="1" xfId="0" applyFont="1" applyBorder="1" applyAlignment="1">
      <alignment horizontal="center" vertical="center" wrapText="1"/>
    </xf>
    <xf numFmtId="0" fontId="84" fillId="0" borderId="33" xfId="0" applyFont="1" applyBorder="1" applyAlignment="1">
      <alignment horizontal="center" vertical="center" wrapText="1"/>
    </xf>
    <xf numFmtId="0" fontId="84" fillId="0" borderId="4" xfId="0" applyFont="1" applyBorder="1" applyAlignment="1">
      <alignment horizontal="center" vertical="center" wrapText="1"/>
    </xf>
    <xf numFmtId="0" fontId="84" fillId="0" borderId="10" xfId="0" applyFont="1" applyBorder="1" applyAlignment="1">
      <alignment horizontal="center" vertical="center" wrapText="1"/>
    </xf>
    <xf numFmtId="0" fontId="84" fillId="0" borderId="12" xfId="0" applyFont="1" applyBorder="1" applyAlignment="1">
      <alignment horizontal="center" vertical="center" wrapText="1"/>
    </xf>
    <xf numFmtId="216" fontId="83" fillId="0" borderId="0" xfId="0" applyNumberFormat="1" applyFont="1" applyAlignment="1">
      <alignment horizontal="center"/>
    </xf>
    <xf numFmtId="0" fontId="69" fillId="0" borderId="0" xfId="0" applyFont="1" applyAlignment="1">
      <alignment horizontal="center" vertical="center" wrapText="1"/>
    </xf>
    <xf numFmtId="0" fontId="52" fillId="0" borderId="33"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4" xfId="0" applyFont="1" applyBorder="1" applyAlignment="1">
      <alignment horizontal="center" vertical="center" wrapText="1"/>
    </xf>
    <xf numFmtId="0" fontId="84" fillId="0" borderId="11" xfId="0" applyFont="1" applyBorder="1" applyAlignment="1">
      <alignment horizontal="center" vertical="center" wrapText="1"/>
    </xf>
    <xf numFmtId="0" fontId="84" fillId="0" borderId="3" xfId="0" applyFont="1" applyBorder="1" applyAlignment="1">
      <alignment horizontal="center" vertical="center" wrapText="1"/>
    </xf>
    <xf numFmtId="0" fontId="101" fillId="0" borderId="33" xfId="0" applyFont="1" applyBorder="1" applyAlignment="1">
      <alignment horizontal="center" vertical="center" wrapText="1"/>
    </xf>
    <xf numFmtId="0" fontId="101" fillId="0" borderId="4" xfId="0" applyFont="1" applyBorder="1" applyAlignment="1">
      <alignment horizontal="center" vertical="center" wrapText="1"/>
    </xf>
    <xf numFmtId="185" fontId="37" fillId="0" borderId="1" xfId="0" applyNumberFormat="1" applyFont="1" applyBorder="1" applyAlignment="1">
      <alignment horizontal="center" vertical="center" wrapText="1"/>
    </xf>
    <xf numFmtId="0" fontId="10" fillId="3" borderId="0" xfId="0" applyFont="1" applyFill="1" applyAlignment="1">
      <alignment horizontal="left" vertical="center"/>
    </xf>
    <xf numFmtId="0" fontId="44" fillId="0" borderId="0" xfId="0" applyFont="1" applyAlignment="1">
      <alignment horizontal="center" vertical="center"/>
    </xf>
    <xf numFmtId="0" fontId="87" fillId="3" borderId="0" xfId="0" applyFont="1" applyFill="1" applyAlignment="1">
      <alignment horizontal="center" vertical="center" wrapText="1"/>
    </xf>
    <xf numFmtId="0" fontId="136" fillId="3" borderId="1" xfId="0" applyFont="1" applyFill="1" applyBorder="1" applyAlignment="1">
      <alignment horizontal="center" vertical="center" wrapText="1"/>
    </xf>
    <xf numFmtId="0" fontId="134" fillId="3" borderId="1" xfId="0" applyFont="1" applyFill="1" applyBorder="1" applyAlignment="1">
      <alignment horizontal="center" vertical="center" wrapText="1"/>
    </xf>
    <xf numFmtId="0" fontId="134" fillId="0" borderId="1" xfId="0" applyFont="1" applyBorder="1" applyAlignment="1">
      <alignment horizontal="center" vertical="center" wrapText="1"/>
    </xf>
    <xf numFmtId="0" fontId="134" fillId="3" borderId="10" xfId="0" applyFont="1" applyFill="1" applyBorder="1" applyAlignment="1">
      <alignment horizontal="center" vertical="center" wrapText="1"/>
    </xf>
    <xf numFmtId="0" fontId="134" fillId="3" borderId="11" xfId="0" applyFont="1" applyFill="1" applyBorder="1" applyAlignment="1">
      <alignment horizontal="center" vertical="center" wrapText="1"/>
    </xf>
    <xf numFmtId="0" fontId="134" fillId="3" borderId="12" xfId="0" applyFont="1" applyFill="1" applyBorder="1" applyAlignment="1">
      <alignment horizontal="center" vertical="center" wrapText="1"/>
    </xf>
    <xf numFmtId="0" fontId="71" fillId="3" borderId="0" xfId="0" applyFont="1" applyFill="1" applyAlignment="1">
      <alignment horizontal="center" vertical="center" wrapText="1"/>
    </xf>
    <xf numFmtId="167" fontId="40" fillId="3" borderId="13" xfId="55" applyNumberFormat="1" applyFont="1" applyFill="1" applyBorder="1" applyAlignment="1">
      <alignment horizontal="center" vertical="center"/>
    </xf>
    <xf numFmtId="0" fontId="40" fillId="3" borderId="13" xfId="55" applyFont="1" applyFill="1" applyBorder="1" applyAlignment="1">
      <alignment horizontal="center" vertical="center"/>
    </xf>
    <xf numFmtId="0" fontId="102" fillId="3" borderId="13" xfId="0" applyFont="1" applyFill="1" applyBorder="1" applyAlignment="1">
      <alignment horizontal="center" vertical="center"/>
    </xf>
    <xf numFmtId="0" fontId="155" fillId="3" borderId="0" xfId="0" applyFont="1" applyFill="1" applyAlignment="1">
      <alignment horizontal="center" vertical="center"/>
    </xf>
    <xf numFmtId="0" fontId="87" fillId="0" borderId="0" xfId="0" applyFont="1" applyAlignment="1">
      <alignment horizontal="center" vertical="center" wrapText="1"/>
    </xf>
    <xf numFmtId="176" fontId="37" fillId="0" borderId="1" xfId="11" applyNumberFormat="1" applyFont="1" applyFill="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177" fontId="37" fillId="0" borderId="1" xfId="10" applyNumberFormat="1" applyFont="1" applyFill="1" applyBorder="1" applyAlignment="1">
      <alignment horizontal="center" vertical="center" wrapText="1"/>
    </xf>
    <xf numFmtId="0" fontId="47" fillId="0" borderId="0" xfId="0" applyFont="1" applyAlignment="1">
      <alignment horizontal="center"/>
    </xf>
    <xf numFmtId="0" fontId="10" fillId="3" borderId="0" xfId="0" applyFont="1" applyFill="1" applyAlignment="1">
      <alignment horizontal="center" vertical="center" wrapText="1"/>
    </xf>
    <xf numFmtId="0" fontId="10" fillId="3" borderId="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9" fontId="50" fillId="0" borderId="1" xfId="65" applyFont="1" applyFill="1" applyBorder="1" applyAlignment="1">
      <alignment horizontal="center" vertical="center" wrapText="1"/>
    </xf>
    <xf numFmtId="0" fontId="55" fillId="0" borderId="13" xfId="0" applyFont="1" applyBorder="1" applyAlignment="1">
      <alignment horizontal="center" vertical="center"/>
    </xf>
    <xf numFmtId="0" fontId="55" fillId="3" borderId="13" xfId="0" applyFont="1" applyFill="1" applyBorder="1" applyAlignment="1">
      <alignment horizontal="center" vertical="center"/>
    </xf>
    <xf numFmtId="0" fontId="50" fillId="3" borderId="1" xfId="0" applyFont="1" applyFill="1" applyBorder="1" applyAlignment="1">
      <alignment horizontal="center" vertical="center" wrapText="1"/>
    </xf>
    <xf numFmtId="9" fontId="50" fillId="3" borderId="1" xfId="65" applyFont="1" applyFill="1" applyBorder="1" applyAlignment="1">
      <alignment horizontal="center" vertical="center" wrapText="1"/>
    </xf>
    <xf numFmtId="0" fontId="10" fillId="0" borderId="3" xfId="0" applyFont="1" applyBorder="1" applyAlignment="1">
      <alignment horizontal="center" vertical="center" wrapText="1"/>
    </xf>
    <xf numFmtId="0" fontId="108" fillId="0" borderId="0" xfId="0" applyFont="1" applyAlignment="1">
      <alignment horizontal="center" vertical="center" wrapText="1"/>
    </xf>
    <xf numFmtId="9" fontId="10" fillId="0" borderId="1" xfId="65" applyFont="1" applyFill="1" applyBorder="1" applyAlignment="1">
      <alignment horizontal="right" vertical="center" wrapText="1"/>
    </xf>
    <xf numFmtId="0" fontId="108" fillId="0" borderId="13" xfId="0" applyFont="1" applyBorder="1" applyAlignment="1">
      <alignment horizontal="center" vertical="center"/>
    </xf>
    <xf numFmtId="183" fontId="10" fillId="3" borderId="1" xfId="65" applyNumberFormat="1"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37" fillId="0" borderId="0" xfId="0" applyFont="1" applyAlignment="1">
      <alignment horizontal="center" vertical="center"/>
    </xf>
    <xf numFmtId="0" fontId="10" fillId="3" borderId="0" xfId="0" applyFont="1" applyFill="1" applyAlignment="1">
      <alignment horizontal="center"/>
    </xf>
    <xf numFmtId="0" fontId="11" fillId="3" borderId="0" xfId="0" applyFont="1" applyFill="1" applyAlignment="1">
      <alignment horizontal="center" vertical="center" wrapText="1"/>
    </xf>
    <xf numFmtId="0" fontId="11" fillId="3" borderId="13" xfId="0" applyFont="1" applyFill="1" applyBorder="1" applyAlignment="1">
      <alignment horizontal="center" vertical="center"/>
    </xf>
    <xf numFmtId="0" fontId="50" fillId="0" borderId="0" xfId="0" applyFont="1" applyAlignment="1">
      <alignment horizontal="center"/>
    </xf>
    <xf numFmtId="0" fontId="37" fillId="3" borderId="0" xfId="0" applyFont="1" applyFill="1" applyAlignment="1">
      <alignment horizontal="center"/>
    </xf>
    <xf numFmtId="0" fontId="39" fillId="3" borderId="13" xfId="0" applyFont="1" applyFill="1" applyBorder="1" applyAlignment="1">
      <alignment horizontal="center" vertical="center"/>
    </xf>
    <xf numFmtId="0" fontId="37" fillId="3" borderId="1" xfId="0" applyFont="1" applyFill="1" applyBorder="1" applyAlignment="1">
      <alignment horizontal="center" vertical="center" wrapText="1"/>
    </xf>
    <xf numFmtId="9" fontId="37" fillId="3" borderId="1" xfId="65" applyFont="1" applyFill="1" applyBorder="1" applyAlignment="1">
      <alignment horizontal="center" vertical="center" wrapText="1"/>
    </xf>
    <xf numFmtId="0" fontId="10" fillId="0" borderId="33"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55" fillId="0" borderId="13" xfId="0" applyFont="1" applyBorder="1" applyAlignment="1">
      <alignment horizontal="right" vertical="center"/>
    </xf>
    <xf numFmtId="182" fontId="50" fillId="0" borderId="1" xfId="0" applyNumberFormat="1" applyFont="1" applyBorder="1" applyAlignment="1">
      <alignment horizontal="center" vertical="center" wrapText="1"/>
    </xf>
    <xf numFmtId="182" fontId="50" fillId="0" borderId="1" xfId="10" applyNumberFormat="1" applyFont="1" applyFill="1" applyBorder="1" applyAlignment="1">
      <alignment horizontal="center" vertical="center" wrapText="1"/>
    </xf>
    <xf numFmtId="0" fontId="50" fillId="0" borderId="0" xfId="0" applyFont="1" applyAlignment="1">
      <alignment horizontal="left" vertical="center"/>
    </xf>
    <xf numFmtId="0" fontId="105" fillId="0" borderId="0" xfId="0" applyFont="1" applyAlignment="1">
      <alignment horizontal="center" vertical="center"/>
    </xf>
    <xf numFmtId="0" fontId="37" fillId="0" borderId="0" xfId="0" applyFont="1" applyAlignment="1">
      <alignment horizontal="left" vertical="center"/>
    </xf>
    <xf numFmtId="183" fontId="10" fillId="0" borderId="1" xfId="0" applyNumberFormat="1" applyFont="1" applyBorder="1" applyAlignment="1">
      <alignment horizontal="left" vertical="center" wrapText="1"/>
    </xf>
    <xf numFmtId="49" fontId="10" fillId="0" borderId="0" xfId="0" applyNumberFormat="1" applyFont="1" applyAlignment="1">
      <alignment horizontal="center" vertical="center" wrapText="1"/>
    </xf>
    <xf numFmtId="184" fontId="47" fillId="26" borderId="0" xfId="11" applyNumberFormat="1" applyFont="1" applyFill="1" applyAlignment="1">
      <alignment horizontal="center" vertical="center" wrapText="1"/>
    </xf>
    <xf numFmtId="0" fontId="50" fillId="0" borderId="45" xfId="0" applyFont="1" applyBorder="1" applyAlignment="1">
      <alignment horizontal="center" vertical="center" wrapText="1"/>
    </xf>
    <xf numFmtId="0" fontId="11" fillId="0" borderId="0" xfId="0" applyFont="1" applyAlignment="1">
      <alignment horizontal="center" vertical="center"/>
    </xf>
    <xf numFmtId="0" fontId="50" fillId="0" borderId="7" xfId="0" applyFont="1" applyBorder="1" applyAlignment="1">
      <alignment horizontal="center" vertical="center" wrapText="1"/>
    </xf>
    <xf numFmtId="183" fontId="50" fillId="0" borderId="45" xfId="0" applyNumberFormat="1" applyFont="1" applyBorder="1" applyAlignment="1">
      <alignment horizontal="center" vertical="center" wrapText="1"/>
    </xf>
    <xf numFmtId="183" fontId="50" fillId="0" borderId="7" xfId="0" applyNumberFormat="1" applyFont="1" applyBorder="1" applyAlignment="1">
      <alignment horizontal="center" vertical="center" wrapText="1"/>
    </xf>
    <xf numFmtId="183" fontId="50" fillId="0" borderId="45" xfId="1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1" fillId="0" borderId="0" xfId="0" applyFont="1" applyAlignment="1">
      <alignment horizontal="center"/>
    </xf>
    <xf numFmtId="0" fontId="10" fillId="0" borderId="0" xfId="0" applyFont="1" applyAlignment="1">
      <alignment horizontal="center"/>
    </xf>
    <xf numFmtId="0" fontId="123" fillId="0" borderId="33" xfId="0" applyFont="1" applyBorder="1" applyAlignment="1">
      <alignment horizontal="center" vertical="center" wrapText="1"/>
    </xf>
    <xf numFmtId="0" fontId="123" fillId="0" borderId="4" xfId="0" applyFont="1" applyBorder="1" applyAlignment="1">
      <alignment horizontal="center" vertical="center" wrapText="1"/>
    </xf>
    <xf numFmtId="0" fontId="123" fillId="0" borderId="0" xfId="0" applyFont="1" applyAlignment="1">
      <alignment horizontal="left" vertical="center" wrapText="1"/>
    </xf>
    <xf numFmtId="0" fontId="124" fillId="0" borderId="0" xfId="0" applyFont="1" applyAlignment="1">
      <alignment horizontal="center" vertical="center" wrapText="1"/>
    </xf>
    <xf numFmtId="0" fontId="125" fillId="0" borderId="0" xfId="0" applyFont="1" applyAlignment="1">
      <alignment horizontal="center" vertical="center" wrapText="1"/>
    </xf>
    <xf numFmtId="0" fontId="125" fillId="0" borderId="0" xfId="0" applyFont="1" applyAlignment="1">
      <alignment horizontal="right" vertical="center" wrapText="1"/>
    </xf>
    <xf numFmtId="0" fontId="123" fillId="0" borderId="3" xfId="0" applyFont="1" applyBorder="1" applyAlignment="1">
      <alignment horizontal="center" vertical="center" wrapText="1"/>
    </xf>
    <xf numFmtId="0" fontId="123" fillId="0" borderId="1" xfId="0" applyFont="1" applyBorder="1" applyAlignment="1">
      <alignment horizontal="center" vertical="center" wrapText="1"/>
    </xf>
    <xf numFmtId="0" fontId="123" fillId="0" borderId="10" xfId="0" applyFont="1" applyBorder="1" applyAlignment="1">
      <alignment horizontal="center" vertical="center" wrapText="1"/>
    </xf>
    <xf numFmtId="0" fontId="123" fillId="0" borderId="11" xfId="0" applyFont="1" applyBorder="1" applyAlignment="1">
      <alignment horizontal="center" vertical="center" wrapText="1"/>
    </xf>
    <xf numFmtId="0" fontId="123" fillId="0" borderId="12" xfId="0" applyFont="1" applyBorder="1" applyAlignment="1">
      <alignment horizontal="center" vertical="center" wrapText="1"/>
    </xf>
    <xf numFmtId="0" fontId="128" fillId="0" borderId="1" xfId="0" applyFont="1" applyBorder="1" applyAlignment="1">
      <alignment horizontal="center" vertical="center" wrapText="1"/>
    </xf>
    <xf numFmtId="0" fontId="128" fillId="0" borderId="0" xfId="0" applyFont="1" applyAlignment="1">
      <alignment horizontal="left" vertical="center" wrapText="1"/>
    </xf>
    <xf numFmtId="0" fontId="123" fillId="0" borderId="0" xfId="0" applyFont="1" applyAlignment="1">
      <alignment horizontal="center" vertical="center" wrapText="1"/>
    </xf>
    <xf numFmtId="0" fontId="165" fillId="0" borderId="0" xfId="0" applyFont="1" applyAlignment="1">
      <alignment horizontal="center" vertical="center" wrapText="1"/>
    </xf>
    <xf numFmtId="0" fontId="168" fillId="0" borderId="0" xfId="0" applyFont="1" applyAlignment="1">
      <alignment horizontal="center" vertical="center"/>
    </xf>
    <xf numFmtId="0" fontId="160" fillId="0" borderId="0" xfId="0" applyFont="1" applyAlignment="1">
      <alignment horizontal="center" vertical="center" wrapText="1"/>
    </xf>
    <xf numFmtId="0" fontId="172" fillId="0" borderId="0" xfId="0" applyFont="1" applyAlignment="1">
      <alignment horizontal="center" vertical="center"/>
    </xf>
    <xf numFmtId="0" fontId="168" fillId="0" borderId="0" xfId="0" applyFont="1" applyAlignment="1">
      <alignment horizontal="center" vertical="center" wrapText="1"/>
    </xf>
    <xf numFmtId="0" fontId="172" fillId="0" borderId="13" xfId="0" applyFont="1" applyBorder="1" applyAlignment="1">
      <alignment horizontal="right" vertical="center"/>
    </xf>
    <xf numFmtId="0" fontId="170" fillId="0" borderId="21" xfId="0" applyFont="1" applyBorder="1" applyAlignment="1">
      <alignment horizontal="center" vertical="center"/>
    </xf>
    <xf numFmtId="0" fontId="160" fillId="0" borderId="0" xfId="0" applyFont="1" applyAlignment="1">
      <alignment horizontal="center" vertical="center"/>
    </xf>
    <xf numFmtId="0" fontId="160" fillId="0" borderId="0" xfId="0" applyFont="1" applyAlignment="1">
      <alignment horizontal="left" vertical="center"/>
    </xf>
    <xf numFmtId="0" fontId="165" fillId="0" borderId="0" xfId="0" applyFont="1" applyAlignment="1">
      <alignment horizontal="center" vertical="center"/>
    </xf>
    <xf numFmtId="0" fontId="160" fillId="0" borderId="1" xfId="0" applyFont="1" applyBorder="1" applyAlignment="1">
      <alignment horizontal="center" vertical="center" wrapText="1"/>
    </xf>
    <xf numFmtId="0" fontId="161" fillId="0" borderId="0" xfId="0" applyFont="1" applyAlignment="1">
      <alignment horizontal="center" vertical="center"/>
    </xf>
    <xf numFmtId="0" fontId="163" fillId="0" borderId="1" xfId="0" applyFont="1" applyBorder="1" applyAlignment="1">
      <alignment horizontal="left" vertical="center" wrapText="1"/>
    </xf>
    <xf numFmtId="0" fontId="177" fillId="0" borderId="0" xfId="0" applyFont="1" applyAlignment="1">
      <alignment horizontal="center" vertical="center" wrapText="1"/>
    </xf>
    <xf numFmtId="0" fontId="176" fillId="0" borderId="0" xfId="0" applyFont="1" applyAlignment="1">
      <alignment horizontal="center" vertical="center" wrapText="1"/>
    </xf>
    <xf numFmtId="0" fontId="163" fillId="0" borderId="13" xfId="0" applyFont="1" applyBorder="1" applyAlignment="1">
      <alignment horizontal="center" vertical="center" wrapText="1"/>
    </xf>
    <xf numFmtId="0" fontId="161" fillId="0" borderId="1" xfId="0" applyFont="1" applyBorder="1" applyAlignment="1">
      <alignment horizontal="left" vertical="center" wrapText="1"/>
    </xf>
    <xf numFmtId="0" fontId="162" fillId="0" borderId="0" xfId="0" applyFont="1" applyAlignment="1">
      <alignment horizontal="center" vertical="center" wrapText="1"/>
    </xf>
    <xf numFmtId="0" fontId="17"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3" fontId="10" fillId="0" borderId="1" xfId="10" applyNumberFormat="1" applyFont="1" applyBorder="1" applyAlignment="1">
      <alignment horizontal="center" vertical="center" wrapText="1"/>
    </xf>
    <xf numFmtId="177" fontId="10" fillId="0" borderId="1" xfId="10" applyNumberFormat="1" applyFont="1" applyBorder="1" applyAlignment="1">
      <alignment horizontal="center" vertical="center" wrapText="1"/>
    </xf>
    <xf numFmtId="177" fontId="17" fillId="0" borderId="1" xfId="10" applyNumberFormat="1" applyFont="1" applyBorder="1" applyAlignment="1">
      <alignment horizontal="center" vertical="center"/>
    </xf>
    <xf numFmtId="177" fontId="17" fillId="0" borderId="1" xfId="10" applyNumberFormat="1" applyFont="1" applyBorder="1" applyAlignment="1">
      <alignment horizontal="center" vertical="center" wrapText="1"/>
    </xf>
    <xf numFmtId="0" fontId="12" fillId="0" borderId="0" xfId="0" applyFont="1" applyAlignment="1">
      <alignment horizontal="center" vertical="center"/>
    </xf>
    <xf numFmtId="0" fontId="14" fillId="0" borderId="0" xfId="0" applyFont="1" applyAlignment="1">
      <alignment horizontal="center" vertical="center"/>
    </xf>
    <xf numFmtId="0" fontId="17" fillId="0" borderId="33" xfId="0" applyFont="1" applyBorder="1" applyAlignment="1">
      <alignment horizontal="left" vertical="center" wrapText="1"/>
    </xf>
    <xf numFmtId="0" fontId="17" fillId="0" borderId="4" xfId="0" applyFont="1" applyBorder="1" applyAlignment="1">
      <alignment horizontal="left" vertical="center" wrapText="1"/>
    </xf>
    <xf numFmtId="0" fontId="17" fillId="0" borderId="1" xfId="0" applyFont="1" applyBorder="1" applyAlignment="1">
      <alignment horizontal="left" vertical="center" wrapText="1"/>
    </xf>
    <xf numFmtId="0" fontId="32" fillId="0" borderId="1" xfId="0" applyFont="1" applyBorder="1" applyAlignment="1">
      <alignment horizontal="center" vertical="center" wrapText="1"/>
    </xf>
    <xf numFmtId="0" fontId="184" fillId="0" borderId="0" xfId="0" applyFont="1" applyAlignment="1">
      <alignment horizontal="center" vertical="center"/>
    </xf>
    <xf numFmtId="0" fontId="181" fillId="0" borderId="33" xfId="0" applyFont="1" applyBorder="1" applyAlignment="1">
      <alignment horizontal="center" vertical="center" wrapText="1"/>
    </xf>
    <xf numFmtId="0" fontId="181" fillId="0" borderId="3" xfId="0" applyFont="1" applyBorder="1" applyAlignment="1">
      <alignment horizontal="center" vertical="center" wrapText="1"/>
    </xf>
    <xf numFmtId="0" fontId="181" fillId="0" borderId="4" xfId="0" applyFont="1" applyBorder="1" applyAlignment="1">
      <alignment horizontal="center" vertical="center" wrapText="1"/>
    </xf>
    <xf numFmtId="0" fontId="206" fillId="0" borderId="0" xfId="0" applyFont="1" applyAlignment="1">
      <alignment horizontal="left" vertical="center" wrapText="1"/>
    </xf>
    <xf numFmtId="0" fontId="206" fillId="0" borderId="0" xfId="0" applyFont="1" applyAlignment="1">
      <alignment horizontal="center" vertical="center" wrapText="1"/>
    </xf>
    <xf numFmtId="0" fontId="206" fillId="0" borderId="0" xfId="0" applyFont="1" applyAlignment="1">
      <alignment horizontal="center" vertical="center"/>
    </xf>
    <xf numFmtId="0" fontId="207" fillId="0" borderId="0" xfId="0" applyFont="1" applyAlignment="1">
      <alignment horizontal="center" vertical="center"/>
    </xf>
    <xf numFmtId="0" fontId="207" fillId="0" borderId="13" xfId="0" applyFont="1" applyBorder="1" applyAlignment="1">
      <alignment horizontal="center" vertical="center"/>
    </xf>
    <xf numFmtId="0" fontId="72" fillId="0" borderId="0" xfId="0" applyFont="1" applyAlignment="1">
      <alignment horizontal="left" wrapText="1"/>
    </xf>
    <xf numFmtId="0" fontId="181" fillId="0" borderId="1" xfId="0" applyFont="1" applyBorder="1" applyAlignment="1">
      <alignment horizontal="center" vertical="center" wrapText="1"/>
    </xf>
    <xf numFmtId="0" fontId="181" fillId="0" borderId="23" xfId="0" applyFont="1" applyBorder="1" applyAlignment="1">
      <alignment horizontal="center" vertical="center" wrapText="1"/>
    </xf>
    <xf numFmtId="0" fontId="181" fillId="0" borderId="35" xfId="0" applyFont="1" applyBorder="1" applyAlignment="1">
      <alignment horizontal="center" vertical="center" wrapText="1"/>
    </xf>
    <xf numFmtId="0" fontId="181" fillId="0" borderId="26" xfId="0" applyFont="1" applyBorder="1" applyAlignment="1">
      <alignment horizontal="center" vertical="center" wrapText="1"/>
    </xf>
    <xf numFmtId="0" fontId="181" fillId="0" borderId="10" xfId="0" applyFont="1" applyBorder="1" applyAlignment="1">
      <alignment horizontal="center" vertical="center" wrapText="1"/>
    </xf>
    <xf numFmtId="0" fontId="181" fillId="0" borderId="11" xfId="0" applyFont="1" applyBorder="1" applyAlignment="1">
      <alignment horizontal="center" vertical="center" wrapText="1"/>
    </xf>
    <xf numFmtId="0" fontId="181" fillId="0" borderId="12" xfId="0" applyFont="1" applyBorder="1" applyAlignment="1">
      <alignment horizontal="center" vertical="center" wrapText="1"/>
    </xf>
    <xf numFmtId="183" fontId="87" fillId="0" borderId="0" xfId="0" applyNumberFormat="1" applyFont="1" applyAlignment="1">
      <alignment horizontal="center" vertical="center" wrapText="1"/>
    </xf>
    <xf numFmtId="0" fontId="11" fillId="0" borderId="0" xfId="0" applyFont="1" applyAlignment="1">
      <alignment horizontal="right" vertical="center" wrapText="1"/>
    </xf>
    <xf numFmtId="183" fontId="10" fillId="0" borderId="33" xfId="0" applyNumberFormat="1" applyFont="1" applyBorder="1" applyAlignment="1">
      <alignment horizontal="right" vertical="center" wrapText="1"/>
    </xf>
    <xf numFmtId="183" fontId="10" fillId="0" borderId="4" xfId="0" applyNumberFormat="1" applyFont="1" applyBorder="1" applyAlignment="1">
      <alignment horizontal="right" vertical="center" wrapText="1"/>
    </xf>
    <xf numFmtId="3" fontId="44" fillId="0" borderId="10" xfId="0" applyNumberFormat="1" applyFont="1" applyBorder="1" applyAlignment="1">
      <alignment horizontal="center" vertical="center" wrapText="1"/>
    </xf>
    <xf numFmtId="3" fontId="44" fillId="0" borderId="12" xfId="0" applyNumberFormat="1" applyFont="1" applyBorder="1" applyAlignment="1">
      <alignment horizontal="center" vertical="center" wrapText="1"/>
    </xf>
    <xf numFmtId="0" fontId="17" fillId="0" borderId="0" xfId="0" applyFont="1" applyAlignment="1">
      <alignment horizontal="left" vertical="center" wrapText="1"/>
    </xf>
    <xf numFmtId="170" fontId="71" fillId="0" borderId="0" xfId="164" applyNumberFormat="1" applyFont="1" applyAlignment="1">
      <alignment horizontal="center" vertical="center" wrapText="1"/>
    </xf>
    <xf numFmtId="170" fontId="10" fillId="0" borderId="0" xfId="164" applyNumberFormat="1" applyFont="1" applyAlignment="1">
      <alignment horizontal="center" vertical="center" wrapText="1"/>
    </xf>
    <xf numFmtId="0" fontId="142" fillId="0" borderId="1" xfId="0" applyFont="1" applyBorder="1" applyAlignment="1">
      <alignment horizontal="right" vertical="center" wrapText="1"/>
    </xf>
    <xf numFmtId="0" fontId="143" fillId="0" borderId="1" xfId="0" applyFont="1" applyBorder="1" applyAlignment="1">
      <alignment horizontal="center" vertical="center" wrapText="1"/>
    </xf>
    <xf numFmtId="0" fontId="143" fillId="0" borderId="1" xfId="0" applyFont="1" applyBorder="1" applyAlignment="1">
      <alignment horizontal="left" vertical="center" wrapText="1" indent="2"/>
    </xf>
    <xf numFmtId="0" fontId="142" fillId="0" borderId="1" xfId="0" applyFont="1" applyBorder="1" applyAlignment="1">
      <alignment horizontal="left" vertical="center" wrapText="1"/>
    </xf>
    <xf numFmtId="3" fontId="142" fillId="0" borderId="1" xfId="0" applyNumberFormat="1" applyFont="1" applyBorder="1" applyAlignment="1">
      <alignment horizontal="right" vertical="center" wrapText="1"/>
    </xf>
    <xf numFmtId="0" fontId="143" fillId="0" borderId="0" xfId="0" applyFont="1" applyAlignment="1">
      <alignment horizontal="center" vertical="center"/>
    </xf>
    <xf numFmtId="0" fontId="142" fillId="0" borderId="0" xfId="0" applyFont="1" applyAlignment="1">
      <alignment horizontal="center" vertical="center"/>
    </xf>
    <xf numFmtId="170" fontId="87" fillId="0" borderId="0" xfId="164" applyNumberFormat="1" applyFont="1" applyAlignment="1">
      <alignment horizontal="center"/>
    </xf>
    <xf numFmtId="0" fontId="11" fillId="0" borderId="13" xfId="0" applyFont="1" applyBorder="1" applyAlignment="1">
      <alignment horizontal="right" vertical="center" wrapText="1"/>
    </xf>
    <xf numFmtId="0" fontId="87" fillId="0" borderId="6" xfId="0" applyFont="1" applyBorder="1" applyAlignment="1">
      <alignment horizontal="center" vertical="center" wrapText="1"/>
    </xf>
    <xf numFmtId="0" fontId="87" fillId="0" borderId="15" xfId="0" applyFont="1" applyBorder="1" applyAlignment="1">
      <alignment horizontal="center" vertical="center" wrapText="1"/>
    </xf>
    <xf numFmtId="170" fontId="71" fillId="0" borderId="0" xfId="164" applyNumberFormat="1" applyFont="1" applyAlignment="1">
      <alignment horizontal="center"/>
    </xf>
    <xf numFmtId="167" fontId="87" fillId="0" borderId="0" xfId="0" applyNumberFormat="1" applyFont="1" applyAlignment="1">
      <alignment horizontal="center"/>
    </xf>
    <xf numFmtId="0" fontId="71" fillId="0" borderId="13" xfId="0" applyFont="1" applyBorder="1" applyAlignment="1">
      <alignment horizontal="right" vertical="center"/>
    </xf>
    <xf numFmtId="167" fontId="10" fillId="0" borderId="1" xfId="0" applyNumberFormat="1" applyFont="1" applyBorder="1" applyAlignment="1">
      <alignment horizontal="center" vertical="center"/>
    </xf>
    <xf numFmtId="0" fontId="11" fillId="0" borderId="1" xfId="0" applyFont="1" applyBorder="1" applyAlignment="1">
      <alignment horizontal="center" vertical="center"/>
    </xf>
    <xf numFmtId="170" fontId="10" fillId="0" borderId="0" xfId="164" applyNumberFormat="1" applyFont="1" applyAlignment="1">
      <alignment horizontal="center"/>
    </xf>
    <xf numFmtId="167" fontId="17" fillId="0" borderId="1" xfId="0" applyNumberFormat="1" applyFont="1" applyBorder="1" applyAlignment="1">
      <alignment horizontal="center" vertical="center" wrapText="1"/>
    </xf>
    <xf numFmtId="0" fontId="17" fillId="0" borderId="0" xfId="0" applyFont="1" applyAlignment="1">
      <alignment horizontal="left" wrapText="1"/>
    </xf>
    <xf numFmtId="170" fontId="10" fillId="0" borderId="0" xfId="164" applyNumberFormat="1" applyFont="1" applyAlignment="1">
      <alignment horizontal="center" wrapText="1"/>
    </xf>
    <xf numFmtId="0" fontId="71" fillId="0" borderId="0" xfId="0" applyFont="1" applyAlignment="1">
      <alignment horizontal="left" vertical="center" wrapText="1"/>
    </xf>
    <xf numFmtId="0" fontId="87" fillId="0" borderId="1" xfId="0" applyFont="1" applyBorder="1" applyAlignment="1">
      <alignment horizontal="center" vertical="center" wrapText="1"/>
    </xf>
    <xf numFmtId="0" fontId="87" fillId="0" borderId="33" xfId="0" applyFont="1" applyBorder="1" applyAlignment="1">
      <alignment horizontal="center" vertical="center" wrapText="1"/>
    </xf>
    <xf numFmtId="0" fontId="87" fillId="0" borderId="11" xfId="0" applyFont="1" applyBorder="1" applyAlignment="1">
      <alignment horizontal="center" vertical="center" wrapText="1"/>
    </xf>
    <xf numFmtId="0" fontId="87" fillId="0" borderId="12" xfId="0" applyFont="1" applyBorder="1" applyAlignment="1">
      <alignment horizontal="center" vertical="center" wrapText="1"/>
    </xf>
    <xf numFmtId="0" fontId="11" fillId="0" borderId="13" xfId="0" applyFont="1" applyBorder="1" applyAlignment="1">
      <alignment horizontal="center" vertical="center" wrapText="1"/>
    </xf>
    <xf numFmtId="167" fontId="155" fillId="0" borderId="0" xfId="4" applyNumberFormat="1" applyFont="1" applyAlignment="1">
      <alignment horizontal="center" vertical="center"/>
    </xf>
    <xf numFmtId="167" fontId="198" fillId="0" borderId="0" xfId="4" applyNumberFormat="1" applyFont="1" applyAlignment="1">
      <alignment horizontal="center" vertical="center"/>
    </xf>
    <xf numFmtId="167" fontId="155" fillId="0" borderId="0" xfId="0" applyNumberFormat="1" applyFont="1" applyAlignment="1">
      <alignment horizontal="center"/>
    </xf>
    <xf numFmtId="0" fontId="44" fillId="0" borderId="1" xfId="4" applyFont="1" applyBorder="1" applyAlignment="1">
      <alignment horizontal="center" vertical="center" wrapText="1"/>
    </xf>
    <xf numFmtId="167" fontId="134" fillId="0" borderId="10" xfId="0" applyNumberFormat="1" applyFont="1" applyBorder="1" applyAlignment="1">
      <alignment horizontal="center" vertical="center" wrapText="1"/>
    </xf>
    <xf numFmtId="167" fontId="134" fillId="0" borderId="11" xfId="0" applyNumberFormat="1" applyFont="1" applyBorder="1" applyAlignment="1">
      <alignment horizontal="center" vertical="center" wrapText="1"/>
    </xf>
    <xf numFmtId="167" fontId="134" fillId="0" borderId="12" xfId="0" applyNumberFormat="1" applyFont="1" applyBorder="1" applyAlignment="1">
      <alignment horizontal="center" vertical="center" wrapText="1"/>
    </xf>
    <xf numFmtId="167" fontId="134" fillId="0" borderId="1" xfId="0" applyNumberFormat="1" applyFont="1" applyBorder="1" applyAlignment="1">
      <alignment horizontal="center" vertical="center" wrapText="1"/>
    </xf>
    <xf numFmtId="167" fontId="135" fillId="0" borderId="10" xfId="0" applyNumberFormat="1" applyFont="1" applyBorder="1" applyAlignment="1">
      <alignment horizontal="center" vertical="center" wrapText="1"/>
    </xf>
    <xf numFmtId="167" fontId="135" fillId="0" borderId="12" xfId="0" applyNumberFormat="1" applyFont="1" applyBorder="1" applyAlignment="1">
      <alignment horizontal="center" vertical="center" wrapText="1"/>
    </xf>
    <xf numFmtId="167" fontId="137" fillId="0" borderId="33" xfId="0" applyNumberFormat="1" applyFont="1" applyBorder="1" applyAlignment="1">
      <alignment horizontal="center" vertical="center" wrapText="1"/>
    </xf>
    <xf numFmtId="167" fontId="137" fillId="0" borderId="4" xfId="0" applyNumberFormat="1" applyFont="1" applyBorder="1" applyAlignment="1">
      <alignment horizontal="center" vertical="center" wrapText="1"/>
    </xf>
    <xf numFmtId="166" fontId="135" fillId="0" borderId="23" xfId="11" applyFont="1" applyBorder="1" applyAlignment="1">
      <alignment horizontal="center" vertical="center" wrapText="1"/>
    </xf>
    <xf numFmtId="166" fontId="135" fillId="0" borderId="40" xfId="11" applyFont="1" applyBorder="1" applyAlignment="1">
      <alignment horizontal="center" vertical="center" wrapText="1"/>
    </xf>
    <xf numFmtId="167" fontId="135" fillId="0" borderId="26" xfId="0" applyNumberFormat="1" applyFont="1" applyBorder="1" applyAlignment="1">
      <alignment horizontal="center" vertical="center" wrapText="1"/>
    </xf>
    <xf numFmtId="167" fontId="135" fillId="0" borderId="38" xfId="0" applyNumberFormat="1" applyFont="1" applyBorder="1" applyAlignment="1">
      <alignment horizontal="center" vertical="center" wrapText="1"/>
    </xf>
    <xf numFmtId="167" fontId="135" fillId="0" borderId="1" xfId="0" applyNumberFormat="1" applyFont="1" applyBorder="1" applyAlignment="1">
      <alignment horizontal="center" vertical="center" wrapText="1"/>
    </xf>
    <xf numFmtId="166" fontId="135" fillId="0" borderId="1" xfId="11" applyFont="1" applyBorder="1" applyAlignment="1">
      <alignment horizontal="center" vertical="center" wrapText="1"/>
    </xf>
    <xf numFmtId="0" fontId="44" fillId="0" borderId="0" xfId="4" applyFont="1" applyAlignment="1">
      <alignment horizontal="center" vertical="center" wrapText="1"/>
    </xf>
    <xf numFmtId="0" fontId="197" fillId="0" borderId="0" xfId="4" applyFont="1" applyAlignment="1">
      <alignment horizontal="center" vertical="center"/>
    </xf>
    <xf numFmtId="0" fontId="198" fillId="0" borderId="0" xfId="4" applyFont="1" applyAlignment="1">
      <alignment horizontal="center" vertical="center"/>
    </xf>
    <xf numFmtId="167" fontId="200" fillId="0" borderId="0" xfId="0" applyNumberFormat="1" applyFont="1" applyAlignment="1">
      <alignment horizontal="right"/>
    </xf>
    <xf numFmtId="167" fontId="44" fillId="0" borderId="0" xfId="4" applyNumberFormat="1" applyFont="1" applyAlignment="1">
      <alignment horizontal="center" vertical="center"/>
    </xf>
    <xf numFmtId="167" fontId="134" fillId="0" borderId="33" xfId="0" applyNumberFormat="1" applyFont="1" applyBorder="1" applyAlignment="1">
      <alignment horizontal="center" vertical="center" wrapText="1"/>
    </xf>
    <xf numFmtId="167" fontId="134" fillId="0" borderId="3" xfId="0" applyNumberFormat="1" applyFont="1" applyBorder="1" applyAlignment="1">
      <alignment horizontal="center" vertical="center" wrapText="1"/>
    </xf>
    <xf numFmtId="167" fontId="134" fillId="0" borderId="4" xfId="0" applyNumberFormat="1" applyFont="1" applyBorder="1" applyAlignment="1">
      <alignment horizontal="center" vertical="center" wrapText="1"/>
    </xf>
    <xf numFmtId="167" fontId="137" fillId="0" borderId="33" xfId="4" applyNumberFormat="1" applyFont="1" applyBorder="1" applyAlignment="1">
      <alignment horizontal="center" vertical="center" wrapText="1"/>
    </xf>
    <xf numFmtId="167" fontId="137" fillId="0" borderId="4" xfId="4" applyNumberFormat="1" applyFont="1" applyBorder="1" applyAlignment="1">
      <alignment horizontal="center" vertical="center" wrapText="1"/>
    </xf>
    <xf numFmtId="166" fontId="135" fillId="0" borderId="10" xfId="11" applyFont="1" applyBorder="1" applyAlignment="1">
      <alignment horizontal="center" vertical="center" wrapText="1"/>
    </xf>
    <xf numFmtId="166" fontId="135" fillId="0" borderId="12" xfId="11" applyFont="1" applyBorder="1" applyAlignment="1">
      <alignment horizontal="center" vertical="center" wrapText="1"/>
    </xf>
    <xf numFmtId="167" fontId="27" fillId="0" borderId="1" xfId="0" applyNumberFormat="1" applyFont="1" applyBorder="1" applyAlignment="1">
      <alignment horizontal="center" vertical="center" wrapText="1"/>
    </xf>
    <xf numFmtId="167" fontId="137" fillId="0" borderId="1" xfId="0" applyNumberFormat="1" applyFont="1" applyBorder="1" applyAlignment="1">
      <alignment horizontal="center" vertical="center" wrapText="1"/>
    </xf>
    <xf numFmtId="0" fontId="10" fillId="0" borderId="1" xfId="4" applyFont="1" applyBorder="1" applyAlignment="1">
      <alignment horizontal="center" vertical="center" wrapText="1"/>
    </xf>
    <xf numFmtId="0" fontId="10" fillId="0" borderId="0" xfId="4" applyFont="1" applyAlignment="1">
      <alignment horizontal="center" vertical="center" wrapText="1"/>
    </xf>
    <xf numFmtId="167" fontId="10" fillId="0" borderId="0" xfId="4" applyNumberFormat="1" applyFont="1" applyAlignment="1">
      <alignment horizontal="right" vertical="center"/>
    </xf>
    <xf numFmtId="0" fontId="21" fillId="0" borderId="0" xfId="4" applyFont="1" applyAlignment="1">
      <alignment horizontal="center" vertical="center"/>
    </xf>
    <xf numFmtId="0" fontId="71" fillId="0" borderId="0" xfId="4" applyFont="1" applyAlignment="1">
      <alignment horizontal="center" vertical="center"/>
    </xf>
    <xf numFmtId="167" fontId="69" fillId="0" borderId="0" xfId="0" applyNumberFormat="1" applyFont="1" applyAlignment="1">
      <alignment horizontal="right"/>
    </xf>
    <xf numFmtId="167" fontId="132" fillId="0" borderId="33" xfId="4" applyNumberFormat="1" applyFont="1" applyBorder="1" applyAlignment="1">
      <alignment horizontal="center" vertical="center" wrapText="1"/>
    </xf>
    <xf numFmtId="167" fontId="132" fillId="0" borderId="4" xfId="4" applyNumberFormat="1" applyFont="1" applyBorder="1" applyAlignment="1">
      <alignment horizontal="center" vertical="center" wrapText="1"/>
    </xf>
    <xf numFmtId="167" fontId="135" fillId="0" borderId="23" xfId="0" applyNumberFormat="1" applyFont="1" applyBorder="1" applyAlignment="1">
      <alignment horizontal="center" vertical="center" wrapText="1"/>
    </xf>
    <xf numFmtId="167" fontId="135" fillId="0" borderId="40" xfId="0" applyNumberFormat="1" applyFont="1" applyBorder="1" applyAlignment="1">
      <alignment horizontal="center" vertical="center" wrapText="1"/>
    </xf>
    <xf numFmtId="167" fontId="11" fillId="0" borderId="0" xfId="4" applyNumberFormat="1" applyFont="1" applyAlignment="1">
      <alignment horizontal="center" vertical="center"/>
    </xf>
    <xf numFmtId="167" fontId="10" fillId="0" borderId="0" xfId="4" applyNumberFormat="1" applyFont="1" applyAlignment="1">
      <alignment horizontal="center" vertical="center"/>
    </xf>
    <xf numFmtId="0" fontId="47" fillId="0" borderId="1" xfId="0" applyFont="1" applyBorder="1" applyAlignment="1">
      <alignment horizontal="center" vertical="center"/>
    </xf>
    <xf numFmtId="0" fontId="47" fillId="0" borderId="10" xfId="0" applyFont="1" applyBorder="1" applyAlignment="1">
      <alignment horizontal="center" wrapText="1"/>
    </xf>
    <xf numFmtId="0" fontId="47" fillId="0" borderId="11" xfId="0" applyFont="1" applyBorder="1" applyAlignment="1">
      <alignment horizontal="center" wrapText="1"/>
    </xf>
    <xf numFmtId="0" fontId="47" fillId="0" borderId="12" xfId="0" applyFont="1" applyBorder="1" applyAlignment="1">
      <alignment horizontal="center" wrapText="1"/>
    </xf>
    <xf numFmtId="0" fontId="10" fillId="0" borderId="0" xfId="0" applyFont="1" applyAlignment="1">
      <alignment horizontal="center" wrapText="1"/>
    </xf>
    <xf numFmtId="3" fontId="71" fillId="0" borderId="0" xfId="0" applyNumberFormat="1" applyFont="1" applyAlignment="1">
      <alignment horizontal="center"/>
    </xf>
    <xf numFmtId="0" fontId="50" fillId="0" borderId="1" xfId="166" applyFont="1" applyBorder="1" applyAlignment="1">
      <alignment horizontal="center" vertical="center"/>
    </xf>
    <xf numFmtId="183" fontId="27" fillId="0" borderId="33" xfId="166" applyNumberFormat="1" applyFont="1" applyBorder="1" applyAlignment="1">
      <alignment horizontal="center" vertical="center" wrapText="1"/>
    </xf>
    <xf numFmtId="183" fontId="27" fillId="0" borderId="3" xfId="166" applyNumberFormat="1" applyFont="1" applyBorder="1" applyAlignment="1">
      <alignment horizontal="center" vertical="center" wrapText="1"/>
    </xf>
    <xf numFmtId="183" fontId="27" fillId="0" borderId="4" xfId="166" applyNumberFormat="1" applyFont="1" applyBorder="1" applyAlignment="1">
      <alignment horizontal="center" vertical="center" wrapText="1"/>
    </xf>
    <xf numFmtId="167" fontId="50" fillId="0" borderId="1" xfId="166" applyNumberFormat="1" applyFont="1" applyBorder="1" applyAlignment="1">
      <alignment horizontal="center" vertical="center" wrapText="1"/>
    </xf>
    <xf numFmtId="0" fontId="50" fillId="0" borderId="1" xfId="166" applyFont="1" applyBorder="1" applyAlignment="1">
      <alignment horizontal="center" vertical="center" wrapText="1"/>
    </xf>
    <xf numFmtId="170" fontId="71" fillId="0" borderId="0" xfId="164" applyNumberFormat="1" applyFont="1" applyAlignment="1">
      <alignment horizontal="center" vertical="center"/>
    </xf>
    <xf numFmtId="170" fontId="50" fillId="0" borderId="0" xfId="164" applyNumberFormat="1" applyFont="1" applyAlignment="1">
      <alignment horizontal="center" vertical="center" wrapText="1"/>
    </xf>
    <xf numFmtId="0" fontId="10" fillId="0" borderId="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 xfId="0" applyFont="1" applyBorder="1" applyAlignment="1">
      <alignment horizontal="center" vertical="center"/>
    </xf>
    <xf numFmtId="183" fontId="87" fillId="0" borderId="0" xfId="0" applyNumberFormat="1" applyFont="1" applyAlignment="1">
      <alignment horizontal="center" vertical="center"/>
    </xf>
    <xf numFmtId="183" fontId="10" fillId="0" borderId="10" xfId="0" applyNumberFormat="1" applyFont="1" applyBorder="1" applyAlignment="1">
      <alignment horizontal="center" vertical="center" wrapText="1"/>
    </xf>
    <xf numFmtId="183" fontId="10" fillId="0" borderId="11" xfId="0" applyNumberFormat="1" applyFont="1" applyBorder="1" applyAlignment="1">
      <alignment horizontal="center" vertical="center" wrapText="1"/>
    </xf>
    <xf numFmtId="183" fontId="10" fillId="0" borderId="12" xfId="0" applyNumberFormat="1" applyFont="1" applyBorder="1" applyAlignment="1">
      <alignment horizontal="center" vertical="center" wrapText="1"/>
    </xf>
    <xf numFmtId="0" fontId="10" fillId="0" borderId="33"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183" fontId="50" fillId="0" borderId="0" xfId="41" applyNumberFormat="1" applyFont="1" applyAlignment="1">
      <alignment horizontal="center" vertical="center" wrapText="1"/>
    </xf>
    <xf numFmtId="183" fontId="71" fillId="0" borderId="0" xfId="41" applyNumberFormat="1" applyFont="1" applyAlignment="1">
      <alignment horizontal="center" vertical="center"/>
    </xf>
    <xf numFmtId="183" fontId="10" fillId="0" borderId="1" xfId="0" applyNumberFormat="1" applyFont="1" applyBorder="1" applyAlignment="1">
      <alignment horizontal="center" vertical="center" wrapText="1"/>
    </xf>
    <xf numFmtId="49" fontId="10" fillId="0" borderId="0" xfId="41" applyNumberFormat="1" applyFont="1" applyAlignment="1">
      <alignment horizontal="left" vertical="center"/>
    </xf>
    <xf numFmtId="183" fontId="11" fillId="0" borderId="13" xfId="0" applyNumberFormat="1" applyFont="1" applyBorder="1" applyAlignment="1">
      <alignment horizontal="right" vertical="center"/>
    </xf>
    <xf numFmtId="183" fontId="10" fillId="0" borderId="0" xfId="0" applyNumberFormat="1" applyFont="1" applyAlignment="1">
      <alignment horizontal="center" vertical="center"/>
    </xf>
    <xf numFmtId="3" fontId="50" fillId="0" borderId="0" xfId="2" applyNumberFormat="1" applyFont="1" applyAlignment="1">
      <alignment horizontal="left"/>
    </xf>
    <xf numFmtId="3" fontId="10" fillId="0" borderId="0" xfId="2" applyNumberFormat="1" applyFont="1" applyAlignment="1">
      <alignment horizontal="center"/>
    </xf>
    <xf numFmtId="3" fontId="55" fillId="0" borderId="13" xfId="2" applyNumberFormat="1" applyFont="1" applyBorder="1" applyAlignment="1">
      <alignment horizontal="right" vertical="center"/>
    </xf>
    <xf numFmtId="3" fontId="10" fillId="0" borderId="1" xfId="2" applyNumberFormat="1" applyFont="1" applyBorder="1" applyAlignment="1">
      <alignment horizontal="center" vertical="center"/>
    </xf>
    <xf numFmtId="167" fontId="10" fillId="0" borderId="1" xfId="2" applyNumberFormat="1" applyFont="1" applyBorder="1" applyAlignment="1">
      <alignment horizontal="center" vertical="center"/>
    </xf>
    <xf numFmtId="3" fontId="11" fillId="0" borderId="0" xfId="2" applyNumberFormat="1" applyFont="1" applyAlignment="1">
      <alignment horizontal="center"/>
    </xf>
    <xf numFmtId="0" fontId="51" fillId="0" borderId="23" xfId="0" applyFont="1" applyBorder="1" applyAlignment="1">
      <alignment horizontal="center" vertical="center" wrapText="1"/>
    </xf>
    <xf numFmtId="0" fontId="51" fillId="0" borderId="26"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35"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24" xfId="0" applyFont="1" applyBorder="1" applyAlignment="1">
      <alignment horizontal="center" vertical="center" wrapText="1"/>
    </xf>
    <xf numFmtId="0" fontId="51" fillId="0" borderId="27" xfId="0" applyFont="1" applyBorder="1" applyAlignment="1">
      <alignment horizontal="center" vertical="center" wrapText="1"/>
    </xf>
    <xf numFmtId="0" fontId="51" fillId="0" borderId="0" xfId="0" applyFont="1" applyAlignment="1">
      <alignment horizontal="left"/>
    </xf>
    <xf numFmtId="0" fontId="88" fillId="0" borderId="0" xfId="0" applyFont="1" applyAlignment="1">
      <alignment horizontal="right"/>
    </xf>
    <xf numFmtId="0" fontId="51" fillId="0" borderId="0" xfId="0" applyFont="1" applyAlignment="1">
      <alignment horizontal="center" vertical="center" wrapText="1"/>
    </xf>
    <xf numFmtId="0" fontId="89" fillId="0" borderId="13" xfId="0" applyFont="1" applyBorder="1" applyAlignment="1">
      <alignment horizontal="right"/>
    </xf>
    <xf numFmtId="0" fontId="51" fillId="0" borderId="24" xfId="0" applyFont="1" applyBorder="1" applyAlignment="1">
      <alignment horizontal="center" vertical="center"/>
    </xf>
    <xf numFmtId="0" fontId="51" fillId="0" borderId="11" xfId="0" applyFont="1" applyBorder="1" applyAlignment="1">
      <alignment horizontal="center" vertical="center"/>
    </xf>
    <xf numFmtId="0" fontId="51" fillId="0" borderId="27" xfId="0" applyFont="1" applyBorder="1" applyAlignment="1">
      <alignment horizontal="center" vertical="center"/>
    </xf>
    <xf numFmtId="0" fontId="27" fillId="0" borderId="0" xfId="0" applyFont="1" applyAlignment="1">
      <alignment horizontal="center"/>
    </xf>
    <xf numFmtId="0" fontId="73" fillId="0" borderId="13" xfId="0" applyFont="1" applyBorder="1" applyAlignment="1">
      <alignment horizontal="center" vertical="center"/>
    </xf>
    <xf numFmtId="0" fontId="8" fillId="0" borderId="1" xfId="0" applyFont="1" applyBorder="1" applyAlignment="1">
      <alignment horizontal="center" vertical="center" wrapText="1"/>
    </xf>
    <xf numFmtId="213" fontId="8" fillId="0" borderId="1" xfId="11" applyNumberFormat="1" applyFont="1" applyBorder="1" applyAlignment="1">
      <alignment horizontal="center" vertical="center"/>
    </xf>
    <xf numFmtId="0" fontId="27" fillId="0" borderId="1" xfId="0" applyFont="1" applyBorder="1" applyAlignment="1">
      <alignment horizontal="center" vertical="center"/>
    </xf>
    <xf numFmtId="0" fontId="10" fillId="0" borderId="0" xfId="67" applyFont="1" applyAlignment="1">
      <alignment horizontal="left" wrapText="1"/>
    </xf>
    <xf numFmtId="0" fontId="11" fillId="0" borderId="13" xfId="67" applyFont="1" applyBorder="1" applyAlignment="1">
      <alignment horizontal="center" wrapText="1"/>
    </xf>
    <xf numFmtId="0" fontId="78" fillId="0" borderId="5" xfId="67" applyFont="1" applyBorder="1" applyAlignment="1">
      <alignment horizontal="center" vertical="center" wrapText="1"/>
    </xf>
    <xf numFmtId="0" fontId="10" fillId="0" borderId="0" xfId="67" applyFont="1" applyAlignment="1">
      <alignment horizontal="center" wrapText="1"/>
    </xf>
    <xf numFmtId="3" fontId="71" fillId="0" borderId="0" xfId="67" applyNumberFormat="1" applyFont="1" applyAlignment="1">
      <alignment horizontal="center" wrapText="1"/>
    </xf>
    <xf numFmtId="0" fontId="71" fillId="0" borderId="0" xfId="67" applyFont="1" applyAlignment="1">
      <alignment horizontal="center" wrapText="1"/>
    </xf>
    <xf numFmtId="0" fontId="50" fillId="0" borderId="10" xfId="67" applyFont="1" applyBorder="1" applyAlignment="1">
      <alignment horizontal="center" vertical="center" wrapText="1"/>
    </xf>
    <xf numFmtId="0" fontId="50" fillId="0" borderId="12" xfId="67" applyFont="1" applyBorder="1" applyAlignment="1">
      <alignment horizontal="center" vertical="center" wrapText="1"/>
    </xf>
  </cellXfs>
  <cellStyles count="168">
    <cellStyle name="20% - Accent1 2" xfId="15" xr:uid="{00000000-0005-0000-0000-000000000000}"/>
    <cellStyle name="20% - Accent2 2" xfId="16" xr:uid="{00000000-0005-0000-0000-000001000000}"/>
    <cellStyle name="20% - Accent3 2" xfId="17" xr:uid="{00000000-0005-0000-0000-000002000000}"/>
    <cellStyle name="20% - Accent4 2" xfId="18" xr:uid="{00000000-0005-0000-0000-000003000000}"/>
    <cellStyle name="20% - Accent5 2" xfId="19" xr:uid="{00000000-0005-0000-0000-000004000000}"/>
    <cellStyle name="20% - Accent6 2" xfId="20" xr:uid="{00000000-0005-0000-0000-000005000000}"/>
    <cellStyle name="40% - Accent1 2" xfId="21" xr:uid="{00000000-0005-0000-0000-000006000000}"/>
    <cellStyle name="40% - Accent2 2" xfId="22" xr:uid="{00000000-0005-0000-0000-000007000000}"/>
    <cellStyle name="40% - Accent3 2" xfId="23" xr:uid="{00000000-0005-0000-0000-000008000000}"/>
    <cellStyle name="40% - Accent4 2" xfId="24" xr:uid="{00000000-0005-0000-0000-000009000000}"/>
    <cellStyle name="40% - Accent5 2" xfId="25" xr:uid="{00000000-0005-0000-0000-00000A000000}"/>
    <cellStyle name="40% - Accent6 2" xfId="26" xr:uid="{00000000-0005-0000-0000-00000B000000}"/>
    <cellStyle name="60% - Accent1 2" xfId="27" xr:uid="{00000000-0005-0000-0000-00000C000000}"/>
    <cellStyle name="60% - Accent2 2" xfId="28" xr:uid="{00000000-0005-0000-0000-00000D000000}"/>
    <cellStyle name="60% - Accent3 2" xfId="29" xr:uid="{00000000-0005-0000-0000-00000E000000}"/>
    <cellStyle name="60% - Accent4 2" xfId="30" xr:uid="{00000000-0005-0000-0000-00000F000000}"/>
    <cellStyle name="60% - Accent5 2" xfId="31" xr:uid="{00000000-0005-0000-0000-000010000000}"/>
    <cellStyle name="60% - Accent6 2" xfId="32" xr:uid="{00000000-0005-0000-0000-000011000000}"/>
    <cellStyle name="Accent1 2" xfId="33" xr:uid="{00000000-0005-0000-0000-000012000000}"/>
    <cellStyle name="Accent2 2" xfId="34" xr:uid="{00000000-0005-0000-0000-000013000000}"/>
    <cellStyle name="Accent3 2" xfId="35" xr:uid="{00000000-0005-0000-0000-000014000000}"/>
    <cellStyle name="Accent4 2" xfId="36" xr:uid="{00000000-0005-0000-0000-000015000000}"/>
    <cellStyle name="Accent5 2" xfId="37" xr:uid="{00000000-0005-0000-0000-000016000000}"/>
    <cellStyle name="Accent6 2" xfId="38" xr:uid="{00000000-0005-0000-0000-000017000000}"/>
    <cellStyle name="Bad 2" xfId="39" xr:uid="{00000000-0005-0000-0000-000018000000}"/>
    <cellStyle name="Bình thường 2" xfId="40" xr:uid="{00000000-0005-0000-0000-000019000000}"/>
    <cellStyle name="Bình thường 3" xfId="12" xr:uid="{00000000-0005-0000-0000-00001A000000}"/>
    <cellStyle name="Calculation 2" xfId="42" xr:uid="{00000000-0005-0000-0000-00001B000000}"/>
    <cellStyle name="Calculation 2 2" xfId="110" xr:uid="{00000000-0005-0000-0000-00001C000000}"/>
    <cellStyle name="Check Cell 2" xfId="43" xr:uid="{00000000-0005-0000-0000-00001D000000}"/>
    <cellStyle name="Chuẩn 2" xfId="81" xr:uid="{00000000-0005-0000-0000-00001E000000}"/>
    <cellStyle name="Chuẩn 2 2" xfId="106" xr:uid="{00000000-0005-0000-0000-00001F000000}"/>
    <cellStyle name="Comma" xfId="11" builtinId="3"/>
    <cellStyle name="Comma [0]" xfId="10" builtinId="6"/>
    <cellStyle name="Comma [0] 2" xfId="72" xr:uid="{00000000-0005-0000-0000-000022000000}"/>
    <cellStyle name="Comma [0] 2 2" xfId="105" xr:uid="{00000000-0005-0000-0000-000023000000}"/>
    <cellStyle name="Comma [0] 3" xfId="66" xr:uid="{00000000-0005-0000-0000-000024000000}"/>
    <cellStyle name="Comma [0] 3 2" xfId="101" xr:uid="{00000000-0005-0000-0000-000025000000}"/>
    <cellStyle name="Comma [0] 4" xfId="88" xr:uid="{00000000-0005-0000-0000-000026000000}"/>
    <cellStyle name="Comma 10" xfId="111" xr:uid="{00000000-0005-0000-0000-000027000000}"/>
    <cellStyle name="Comma 10 10" xfId="80" xr:uid="{00000000-0005-0000-0000-000028000000}"/>
    <cellStyle name="Comma 11" xfId="109" xr:uid="{00000000-0005-0000-0000-000029000000}"/>
    <cellStyle name="Comma 12" xfId="44" xr:uid="{00000000-0005-0000-0000-00002A000000}"/>
    <cellStyle name="Comma 12 2" xfId="74" xr:uid="{00000000-0005-0000-0000-00002B000000}"/>
    <cellStyle name="Comma 13" xfId="113" xr:uid="{00000000-0005-0000-0000-00002C000000}"/>
    <cellStyle name="Comma 14" xfId="114" xr:uid="{00000000-0005-0000-0000-00002D000000}"/>
    <cellStyle name="Comma 15" xfId="115" xr:uid="{00000000-0005-0000-0000-00002E000000}"/>
    <cellStyle name="Comma 16" xfId="117" xr:uid="{00000000-0005-0000-0000-00002F000000}"/>
    <cellStyle name="Comma 17" xfId="125" xr:uid="{00000000-0005-0000-0000-000030000000}"/>
    <cellStyle name="Comma 18" xfId="130" xr:uid="{00000000-0005-0000-0000-000031000000}"/>
    <cellStyle name="Comma 19" xfId="116" xr:uid="{00000000-0005-0000-0000-000032000000}"/>
    <cellStyle name="Comma 2" xfId="45" xr:uid="{00000000-0005-0000-0000-000033000000}"/>
    <cellStyle name="Comma 2 2" xfId="77" xr:uid="{00000000-0005-0000-0000-000034000000}"/>
    <cellStyle name="Comma 2 2 2 10" xfId="167" xr:uid="{85D24E14-2F49-4E3D-9DDC-5BD9D69690A7}"/>
    <cellStyle name="Comma 2 8" xfId="163" xr:uid="{022C0D86-FF42-4655-8F9F-0977A661B28A}"/>
    <cellStyle name="Comma 20" xfId="129" xr:uid="{00000000-0005-0000-0000-000035000000}"/>
    <cellStyle name="Comma 21" xfId="135" xr:uid="{00000000-0005-0000-0000-000036000000}"/>
    <cellStyle name="Comma 22" xfId="136" xr:uid="{00000000-0005-0000-0000-000037000000}"/>
    <cellStyle name="Comma 23" xfId="137" xr:uid="{00000000-0005-0000-0000-000038000000}"/>
    <cellStyle name="Comma 24" xfId="138" xr:uid="{00000000-0005-0000-0000-000039000000}"/>
    <cellStyle name="Comma 25" xfId="139" xr:uid="{00000000-0005-0000-0000-00003A000000}"/>
    <cellStyle name="Comma 26" xfId="140" xr:uid="{00000000-0005-0000-0000-00003B000000}"/>
    <cellStyle name="Comma 27" xfId="141" xr:uid="{00000000-0005-0000-0000-00003C000000}"/>
    <cellStyle name="Comma 28" xfId="142" xr:uid="{00000000-0005-0000-0000-00003D000000}"/>
    <cellStyle name="Comma 29" xfId="143" xr:uid="{00000000-0005-0000-0000-00003E000000}"/>
    <cellStyle name="Comma 3" xfId="46" xr:uid="{00000000-0005-0000-0000-00003F000000}"/>
    <cellStyle name="Comma 3 2" xfId="73" xr:uid="{00000000-0005-0000-0000-000040000000}"/>
    <cellStyle name="Comma 30" xfId="144" xr:uid="{00000000-0005-0000-0000-000041000000}"/>
    <cellStyle name="Comma 31" xfId="145" xr:uid="{00000000-0005-0000-0000-000042000000}"/>
    <cellStyle name="Comma 32" xfId="146" xr:uid="{00000000-0005-0000-0000-000043000000}"/>
    <cellStyle name="Comma 33" xfId="147" xr:uid="{00000000-0005-0000-0000-000044000000}"/>
    <cellStyle name="Comma 34" xfId="148" xr:uid="{00000000-0005-0000-0000-000045000000}"/>
    <cellStyle name="Comma 35" xfId="149" xr:uid="{00000000-0005-0000-0000-000046000000}"/>
    <cellStyle name="Comma 36" xfId="150" xr:uid="{00000000-0005-0000-0000-000047000000}"/>
    <cellStyle name="Comma 37" xfId="151" xr:uid="{00000000-0005-0000-0000-000048000000}"/>
    <cellStyle name="Comma 38" xfId="152" xr:uid="{00000000-0005-0000-0000-000049000000}"/>
    <cellStyle name="Comma 39" xfId="153" xr:uid="{00000000-0005-0000-0000-00004A000000}"/>
    <cellStyle name="Comma 4" xfId="70" xr:uid="{00000000-0005-0000-0000-00004B000000}"/>
    <cellStyle name="Comma 4 2" xfId="103" xr:uid="{00000000-0005-0000-0000-00004C000000}"/>
    <cellStyle name="Comma 40" xfId="154" xr:uid="{00000000-0005-0000-0000-00004D000000}"/>
    <cellStyle name="Comma 41" xfId="155" xr:uid="{00000000-0005-0000-0000-00004E000000}"/>
    <cellStyle name="Comma 42" xfId="156" xr:uid="{00000000-0005-0000-0000-00004F000000}"/>
    <cellStyle name="Comma 43" xfId="157" xr:uid="{00000000-0005-0000-0000-000050000000}"/>
    <cellStyle name="Comma 44" xfId="158" xr:uid="{00000000-0005-0000-0000-000051000000}"/>
    <cellStyle name="Comma 45" xfId="159" xr:uid="{00000000-0005-0000-0000-000052000000}"/>
    <cellStyle name="Comma 46" xfId="160" xr:uid="{00000000-0005-0000-0000-000053000000}"/>
    <cellStyle name="Comma 47" xfId="161" xr:uid="{00000000-0005-0000-0000-000054000000}"/>
    <cellStyle name="Comma 5" xfId="71" xr:uid="{00000000-0005-0000-0000-000055000000}"/>
    <cellStyle name="Comma 5 2" xfId="104" xr:uid="{00000000-0005-0000-0000-000056000000}"/>
    <cellStyle name="Comma 6" xfId="47" xr:uid="{00000000-0005-0000-0000-000057000000}"/>
    <cellStyle name="Comma 7" xfId="93" xr:uid="{00000000-0005-0000-0000-000058000000}"/>
    <cellStyle name="Comma 8" xfId="108" xr:uid="{00000000-0005-0000-0000-000059000000}"/>
    <cellStyle name="Comma 9" xfId="82" xr:uid="{00000000-0005-0000-0000-00005A000000}"/>
    <cellStyle name="Comma_4" xfId="68" xr:uid="{00000000-0005-0000-0000-00005B000000}"/>
    <cellStyle name="Dấu phảy [0] 2" xfId="48" xr:uid="{00000000-0005-0000-0000-00005C000000}"/>
    <cellStyle name="Dấu phảy [0] 3" xfId="49" xr:uid="{00000000-0005-0000-0000-00005D000000}"/>
    <cellStyle name="Đầu ra" xfId="118" xr:uid="{00000000-0005-0000-0000-00005E000000}"/>
    <cellStyle name="Đầu vào" xfId="119" xr:uid="{00000000-0005-0000-0000-00005F000000}"/>
    <cellStyle name="Dấu_phảy 2" xfId="76" xr:uid="{00000000-0005-0000-0000-000060000000}"/>
    <cellStyle name="Đề mục 1" xfId="120" xr:uid="{00000000-0005-0000-0000-000061000000}"/>
    <cellStyle name="Đề mục 2" xfId="121" xr:uid="{00000000-0005-0000-0000-000062000000}"/>
    <cellStyle name="Đề mục 3" xfId="122" xr:uid="{00000000-0005-0000-0000-000063000000}"/>
    <cellStyle name="Đề mục 4" xfId="123" xr:uid="{00000000-0005-0000-0000-000064000000}"/>
    <cellStyle name="Explanatory Text 2" xfId="50" xr:uid="{00000000-0005-0000-0000-000065000000}"/>
    <cellStyle name="Ghi chú" xfId="124" xr:uid="{00000000-0005-0000-0000-000066000000}"/>
    <cellStyle name="Good 2" xfId="51" xr:uid="{00000000-0005-0000-0000-000067000000}"/>
    <cellStyle name="Header1" xfId="5" xr:uid="{00000000-0005-0000-0000-000068000000}"/>
    <cellStyle name="Header2" xfId="6" xr:uid="{00000000-0005-0000-0000-000069000000}"/>
    <cellStyle name="Hyperlink" xfId="1" builtinId="8"/>
    <cellStyle name="Linked Cell 2" xfId="52" xr:uid="{00000000-0005-0000-0000-00006B000000}"/>
    <cellStyle name="Neutral 2" xfId="53" xr:uid="{00000000-0005-0000-0000-00006C000000}"/>
    <cellStyle name="Normal" xfId="0" builtinId="0"/>
    <cellStyle name="Normal 10" xfId="64" xr:uid="{00000000-0005-0000-0000-00006E000000}"/>
    <cellStyle name="Normal 10 2" xfId="99" xr:uid="{00000000-0005-0000-0000-00006F000000}"/>
    <cellStyle name="Normal 11" xfId="8" xr:uid="{00000000-0005-0000-0000-000070000000}"/>
    <cellStyle name="Normal 12" xfId="9" xr:uid="{00000000-0005-0000-0000-000071000000}"/>
    <cellStyle name="Normal 12 2" xfId="92" xr:uid="{00000000-0005-0000-0000-000072000000}"/>
    <cellStyle name="Normal 12 3" xfId="132" xr:uid="{00000000-0005-0000-0000-000073000000}"/>
    <cellStyle name="Normal 13" xfId="60" xr:uid="{00000000-0005-0000-0000-000074000000}"/>
    <cellStyle name="Normal 14" xfId="69" xr:uid="{00000000-0005-0000-0000-000075000000}"/>
    <cellStyle name="Normal 14 2" xfId="102" xr:uid="{00000000-0005-0000-0000-000076000000}"/>
    <cellStyle name="Normal 15" xfId="87" xr:uid="{00000000-0005-0000-0000-000077000000}"/>
    <cellStyle name="Normal 16" xfId="89" xr:uid="{00000000-0005-0000-0000-000078000000}"/>
    <cellStyle name="Normal 17" xfId="131" xr:uid="{00000000-0005-0000-0000-000079000000}"/>
    <cellStyle name="Normal 18" xfId="134" xr:uid="{00000000-0005-0000-0000-00007A000000}"/>
    <cellStyle name="Normal 19" xfId="162" xr:uid="{00000000-0005-0000-0000-00007B000000}"/>
    <cellStyle name="Normal 2" xfId="2" xr:uid="{00000000-0005-0000-0000-00007C000000}"/>
    <cellStyle name="Normal 2 11" xfId="165" xr:uid="{1384697C-ADFE-4F3F-BDCE-11FC854BE0FC}"/>
    <cellStyle name="Normal 2 2" xfId="55" xr:uid="{00000000-0005-0000-0000-00007D000000}"/>
    <cellStyle name="Normal 2 2 2" xfId="85" xr:uid="{00000000-0005-0000-0000-00007E000000}"/>
    <cellStyle name="Normal 2 2 2 2" xfId="107" xr:uid="{00000000-0005-0000-0000-00007F000000}"/>
    <cellStyle name="Normal 2 2 2 3" xfId="133" xr:uid="{00000000-0005-0000-0000-000080000000}"/>
    <cellStyle name="Normal 2 3" xfId="54" xr:uid="{00000000-0005-0000-0000-000081000000}"/>
    <cellStyle name="Normal 2_13" xfId="56" xr:uid="{00000000-0005-0000-0000-000082000000}"/>
    <cellStyle name="Normal 3" xfId="4" xr:uid="{00000000-0005-0000-0000-000083000000}"/>
    <cellStyle name="Normal 3 2" xfId="90" xr:uid="{00000000-0005-0000-0000-000084000000}"/>
    <cellStyle name="Normal 4" xfId="7" xr:uid="{00000000-0005-0000-0000-000085000000}"/>
    <cellStyle name="Normal 4 2" xfId="57" xr:uid="{00000000-0005-0000-0000-000086000000}"/>
    <cellStyle name="Normal 4 2 3" xfId="166" xr:uid="{E79B105A-D866-4381-A254-C4790506E736}"/>
    <cellStyle name="Normal 4 3" xfId="75" xr:uid="{00000000-0005-0000-0000-000087000000}"/>
    <cellStyle name="Normal 4 4" xfId="91" xr:uid="{00000000-0005-0000-0000-000088000000}"/>
    <cellStyle name="Normal 5" xfId="14" xr:uid="{00000000-0005-0000-0000-000089000000}"/>
    <cellStyle name="Normal 5 2" xfId="94" xr:uid="{00000000-0005-0000-0000-00008A000000}"/>
    <cellStyle name="Normal 6" xfId="41" xr:uid="{00000000-0005-0000-0000-00008B000000}"/>
    <cellStyle name="Normal 6 2" xfId="95" xr:uid="{00000000-0005-0000-0000-00008C000000}"/>
    <cellStyle name="Normal 7" xfId="61" xr:uid="{00000000-0005-0000-0000-00008D000000}"/>
    <cellStyle name="Normal 7 2" xfId="96" xr:uid="{00000000-0005-0000-0000-00008E000000}"/>
    <cellStyle name="Normal 8" xfId="62" xr:uid="{00000000-0005-0000-0000-00008F000000}"/>
    <cellStyle name="Normal 8 2" xfId="97" xr:uid="{00000000-0005-0000-0000-000090000000}"/>
    <cellStyle name="Normal 9" xfId="63" xr:uid="{00000000-0005-0000-0000-000091000000}"/>
    <cellStyle name="Normal 9 2" xfId="78" xr:uid="{00000000-0005-0000-0000-000092000000}"/>
    <cellStyle name="Normal 9 3" xfId="98" xr:uid="{00000000-0005-0000-0000-000093000000}"/>
    <cellStyle name="Normal_060331 Bieu tinh chi thuong xuyen NSDP 2007 theo DM bc TTg" xfId="13" xr:uid="{00000000-0005-0000-0000-000094000000}"/>
    <cellStyle name="Normal_060719 QN-He thong bieu mau lam du toan chi NSDP Vong I nam 2007 2" xfId="84" xr:uid="{00000000-0005-0000-0000-000095000000}"/>
    <cellStyle name="Normal_4" xfId="67" xr:uid="{00000000-0005-0000-0000-000096000000}"/>
    <cellStyle name="Normal_Bieu mau (CV )" xfId="79" xr:uid="{00000000-0005-0000-0000-000098000000}"/>
    <cellStyle name="Normal_Bieu mau (CV ) 2" xfId="86" xr:uid="{00000000-0005-0000-0000-000099000000}"/>
    <cellStyle name="Normal_pl6Bieu so 45" xfId="3" xr:uid="{00000000-0005-0000-0000-00009B000000}"/>
    <cellStyle name="Normal_QT thu chi quan ly qua ngan sach" xfId="164" xr:uid="{77A9486D-C6C4-4B29-8630-BBDCC49044EC}"/>
    <cellStyle name="Normal_Sheet1 2" xfId="83" xr:uid="{00000000-0005-0000-0000-00009C000000}"/>
    <cellStyle name="Percent" xfId="65" builtinId="5"/>
    <cellStyle name="Percent 2" xfId="58" xr:uid="{00000000-0005-0000-0000-00009E000000}"/>
    <cellStyle name="Percent 3" xfId="100" xr:uid="{00000000-0005-0000-0000-00009F000000}"/>
    <cellStyle name="Tiêu đề" xfId="126" xr:uid="{00000000-0005-0000-0000-0000A0000000}"/>
    <cellStyle name="Tổng" xfId="127" xr:uid="{00000000-0005-0000-0000-0000A1000000}"/>
    <cellStyle name="Total 2" xfId="59" xr:uid="{00000000-0005-0000-0000-0000A2000000}"/>
    <cellStyle name="Total 2 2" xfId="112" xr:uid="{00000000-0005-0000-0000-0000A3000000}"/>
    <cellStyle name="Văn bản Cảnh báo" xfId="128" xr:uid="{00000000-0005-0000-0000-0000A4000000}"/>
  </cellStyles>
  <dxfs count="0"/>
  <tableStyles count="0" defaultTableStyle="TableStyleMedium2" defaultPivotStyle="PivotStyleLight16"/>
  <colors>
    <mruColors>
      <color rgb="FF0000FF"/>
      <color rgb="FFFFCC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6.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66" Type="http://schemas.openxmlformats.org/officeDocument/2006/relationships/externalLink" Target="externalLinks/externalLink9.xml"/><Relationship Id="rId5" Type="http://schemas.openxmlformats.org/officeDocument/2006/relationships/worksheet" Target="worksheets/sheet5.xml"/><Relationship Id="rId61" Type="http://schemas.openxmlformats.org/officeDocument/2006/relationships/externalLink" Target="externalLinks/externalLink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7.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2.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5.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3.xml"/><Relationship Id="rId65"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X&#195;%20B&#7840;CH%20TH&#212;NG\15.%20T&#7893;ng%20h&#7907;p%20kinh%20ph&#237;\N&#259;m%202025\A-T&#7892;NG%20KINH%20PH&#205;%20N&#258;M%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U%20LIEU%20LAN%20ANH/1.%20LAN%20ANH_QLNS/VU%20LAN%20ANH/VU%20LAN%20ANH%202026/14.%20Quy&#7871;t%20to&#225;n%20n&#259;m%202025/1.BC%20QUY&#7870;T%20TO&#193;N%20NSNN%202025_PBK%20(THU&#7844;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U%20LIEU%20&#272;ANG%20L&#192;M/TH&#7910;Y%20TH&#7910;Y/QUY&#7870;T%20TO&#193;N%20NSNN/T&#7892;NG%20H&#7906;P%20TH&#192;NH%20PH&#7888;%20N&#258;M/BC%20k&#7871;t%20qu&#7843;%20th&#7921;c%20hi&#7879;n%20CT%20MTQG%20NTM%202023%20-%20Th&#224;nh%20ph&#7889;%20BK%20(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U%20LIEU%20LAN%20ANH/1.%20LAN%20ANH_QLNS/VU%20LAN%20ANH/VU%20LAN%20ANH%202026/14.%20Quy&#7871;t%20to&#225;n%20n&#259;m%202025/10.%20Tr&#236;nh%20NQ/4.%20Bi&#7875;u%20k&#232;m%20theo%20d&#7921;%20th&#7843;o%20NQ.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U%20LIEU%20&#272;ANG%20L&#192;M/TH&#7910;Y%20TH&#7910;Y/So&#7841;n%20th&#7843;o%20Q&#272;/N&#259;m%202025/KINH%20PH&#205;/Chuy&#7875;n%20ngu&#7891;n/L&#7847;n%204/CN%20t&#259;ng%20thu,%20tkc%20n&#259;m%202024%20sang%2020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U%20LIEU%20LAN%20ANH/1.%20LAN%20ANH_QLNS/VU%20LAN%20ANH/VU%20LAN%20ANH%202026/14.%20Quy&#7871;t%20to&#225;n%20n&#259;m%202025/Bieu%20mau%20QT%202025_Kh&#7889;i%20x&#227;,%20ph&#432;&#7901;ng%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U%20LIEU%20LAN%20ANH/1.%20LAN%20ANH_QLNS/VU%20LAN%20ANH/VU%20LAN%20ANH%202026/14.%20Quy&#7871;t%20to&#225;n%20n&#259;m%202025/9.%20TKhao/1.%20Bi&#7875;u%20k&#232;m%20BC%20QT%202025%20HSCV%20(B&#7843;n%20chu&#7849;n)_Cao%20Minh.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U%20LIEU%20LAN%20ANH/1.%20LAN%20ANH_QLNS/VU%20LAN%20ANH/VU%20LAN%20ANH%202026/12.%20QT%20c&#225;c%20ch&#7871;%20&#273;&#7897;%20cs%20n&#259;m%202025/Bi&#7875;u%20THQT,%20GD%202025%20-%20TW_PBK.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OS\Downloads\T&#7892;NG%20CT%20MTQG%202024%20-%20Th&#224;nh%20ph&#78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ngatang"/>
      <sheetName val="Nguồn năm 2025 (2)"/>
      <sheetName val="Nguồn năm 2025"/>
      <sheetName val="Kinh phí từng đơn vị"/>
      <sheetName val="KINH PHÍ CẢ NĂM"/>
      <sheetName val="Tra cứu"/>
      <sheetName val="Mã QHNS"/>
    </sheetNames>
    <sheetDataSet>
      <sheetData sheetId="0" refreshError="1"/>
      <sheetData sheetId="1" refreshError="1"/>
      <sheetData sheetId="2" refreshError="1"/>
      <sheetData sheetId="3" refreshError="1">
        <row r="37">
          <cell r="G37">
            <v>486220838</v>
          </cell>
        </row>
        <row r="69">
          <cell r="G69">
            <v>8330000</v>
          </cell>
        </row>
        <row r="104">
          <cell r="G104">
            <v>482959254.57999998</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tong hop"/>
      <sheetName val="Sheet1"/>
      <sheetName val="5.1"/>
      <sheetName val="5.2"/>
      <sheetName val="5.3"/>
      <sheetName val="5.4"/>
      <sheetName val="5.5"/>
      <sheetName val="5.6"/>
      <sheetName val="5.7"/>
      <sheetName val="5.8. BK"/>
      <sheetName val="5.8"/>
      <sheetName val="Sheet2"/>
      <sheetName val="5.9"/>
      <sheetName val="5.10"/>
      <sheetName val="5.11"/>
      <sheetName val="5.12"/>
      <sheetName val="5.13"/>
      <sheetName val="5.14"/>
      <sheetName val="5.14.1"/>
      <sheetName val="5.14.2"/>
      <sheetName val="5.15"/>
      <sheetName val="Sheet3"/>
      <sheetName val="5.15.BK"/>
      <sheetName val="5.15.2.BK"/>
      <sheetName val="5.16"/>
      <sheetName val="5.17"/>
      <sheetName val="5.20"/>
      <sheetName val="5.21"/>
      <sheetName val="5.22"/>
      <sheetName val="5.22 (1)"/>
      <sheetName val="5.23"/>
      <sheetName val="5.24"/>
      <sheetName val="5.25"/>
      <sheetName val="5.26"/>
      <sheetName val="5.27"/>
      <sheetName val="5.28"/>
      <sheetName val="5.29"/>
      <sheetName val="5.30"/>
      <sheetName val="5.30(1)"/>
      <sheetName val="MS 01"/>
      <sheetName val="MS 02"/>
      <sheetName val="MS 03"/>
      <sheetName val="MS 04"/>
      <sheetName val="MS 05"/>
      <sheetName val="MS 06"/>
      <sheetName val="MS 07"/>
      <sheetName val="CÁC CĐGD"/>
      <sheetName val="5.31"/>
      <sheetName val="5.32"/>
      <sheetName val="BSMT"/>
      <sheetName val="Vay-cho v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
          <cell r="B20" t="str">
            <v>Lĩnh vực giáo dục - đào tạo và dạy nghề  (Loại Loại 070 - Ngành 073)</v>
          </cell>
        </row>
        <row r="27">
          <cell r="B27" t="str">
            <v>Lĩnh vực giao thông đường bộ (Loại 280 - Ngành 292)</v>
          </cell>
        </row>
        <row r="42">
          <cell r="B42" t="str">
            <v>Nguồn ngân sách địa phương (phân cấp phường điều hành)</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ow r="14">
          <cell r="M14">
            <v>11700</v>
          </cell>
        </row>
        <row r="15">
          <cell r="M15">
            <v>9886.1020000000008</v>
          </cell>
        </row>
        <row r="24">
          <cell r="M24">
            <v>14539.974</v>
          </cell>
        </row>
        <row r="25">
          <cell r="M25">
            <v>47007.898999999998</v>
          </cell>
        </row>
        <row r="26">
          <cell r="M26">
            <v>35714.857000000004</v>
          </cell>
        </row>
        <row r="28">
          <cell r="M28">
            <v>4067.16</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SN DTTS"/>
      <sheetName val="SN NTM"/>
      <sheetName val="ĐT DTTS"/>
      <sheetName val="ĐT NTM"/>
      <sheetName val="SN GNBV (2)"/>
      <sheetName val="ĐT GNBV (2)"/>
      <sheetName val="SN GNBV"/>
      <sheetName val="ĐT GNBV"/>
      <sheetName val="Sheet3"/>
      <sheetName val="Sheet2"/>
      <sheetName val="Sheet1"/>
      <sheetName val="Biểu 02 PB lại"/>
      <sheetName val="Biểu 03 PB lại"/>
    </sheetNames>
    <sheetDataSet>
      <sheetData sheetId="0" refreshError="1"/>
      <sheetData sheetId="1" refreshError="1"/>
      <sheetData sheetId="2" refreshError="1">
        <row r="182">
          <cell r="M182">
            <v>1464267046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tong hop TT342"/>
      <sheetName val="PL"/>
      <sheetName val="Sheet1"/>
      <sheetName val="DM bieu mau"/>
      <sheetName val="48"/>
      <sheetName val="5.2"/>
      <sheetName val="50"/>
      <sheetName val="51"/>
      <sheetName val="52"/>
      <sheetName val="5.6"/>
      <sheetName val="54"/>
      <sheetName val="55"/>
      <sheetName val="56"/>
      <sheetName val="5.11"/>
      <sheetName val="5.12"/>
      <sheetName val="5.13"/>
      <sheetName val="57"/>
      <sheetName val="61"/>
      <sheetName val="5.14.1"/>
      <sheetName val="5.14.2"/>
      <sheetName val="61.2"/>
      <sheetName val="62"/>
      <sheetName val="63"/>
      <sheetName val="64"/>
      <sheetName val="5.20"/>
      <sheetName val="5.21"/>
      <sheetName val="5.22"/>
      <sheetName val="5.22 (1)"/>
      <sheetName val="5.23"/>
      <sheetName val="5.24"/>
      <sheetName val="5.25"/>
      <sheetName val="5.26"/>
      <sheetName val="5.27"/>
      <sheetName val="5.28"/>
      <sheetName val="5.29"/>
      <sheetName val="5.30"/>
      <sheetName val="5.30(1)"/>
      <sheetName val="MS 01"/>
      <sheetName val="Sheet13"/>
      <sheetName val="MS 02"/>
      <sheetName val="MS 03"/>
      <sheetName val="MS 04"/>
      <sheetName val="MS 05"/>
      <sheetName val="MS 06"/>
      <sheetName val="MS 07"/>
      <sheetName val="CÁC CĐGD"/>
      <sheetName val="5.31"/>
      <sheetName val="5.32"/>
      <sheetName val="BSMT"/>
      <sheetName val="Vay-cho vay"/>
    </sheetNames>
    <sheetDataSet>
      <sheetData sheetId="0" refreshError="1"/>
      <sheetData sheetId="1" refreshError="1"/>
      <sheetData sheetId="2" refreshError="1"/>
      <sheetData sheetId="3" refreshError="1"/>
      <sheetData sheetId="4">
        <row r="1">
          <cell r="A1" t="str">
            <v>HĐND PHƯỜNG BẮC KẠN (DỰ THẢO)</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4">
          <cell r="A4" t="str">
            <v>(Kèm theo Nghị quyết số          /NQ-HĐND ngày         /3/2026 của Hội đồng nhân dân phường Bắc Kạn)</v>
          </cell>
          <cell r="B4"/>
          <cell r="C4"/>
          <cell r="D4"/>
          <cell r="E4"/>
          <cell r="F4"/>
          <cell r="G4"/>
          <cell r="H4"/>
          <cell r="I4"/>
          <cell r="J4"/>
          <cell r="K4"/>
          <cell r="L4"/>
          <cell r="M4"/>
          <cell r="N4"/>
          <cell r="O4"/>
          <cell r="P4"/>
          <cell r="Q4"/>
          <cell r="R4"/>
          <cell r="S4"/>
          <cell r="T4"/>
          <cell r="U4"/>
          <cell r="V4"/>
          <cell r="W4"/>
          <cell r="X4"/>
          <cell r="Y4"/>
          <cell r="Z4"/>
          <cell r="AA4"/>
          <cell r="AB4"/>
          <cell r="AC4"/>
          <cell r="AD4"/>
          <cell r="AE4"/>
          <cell r="AF4"/>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ăng thu, tkc"/>
      <sheetName val="Tính tăng thu cân đối"/>
      <sheetName val="Thu hồi QĐ"/>
      <sheetName val="Tại đơn vị"/>
      <sheetName val="sau QT"/>
      <sheetName val="Sheet1"/>
    </sheetNames>
    <sheetDataSet>
      <sheetData sheetId="0"/>
      <sheetData sheetId="1"/>
      <sheetData sheetId="2"/>
      <sheetData sheetId="3"/>
      <sheetData sheetId="4">
        <row r="5">
          <cell r="E5">
            <v>2898432000</v>
          </cell>
        </row>
      </sheetData>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muc bieu mau "/>
      <sheetName val="MS 01"/>
      <sheetName val="MS 02"/>
      <sheetName val="MS 03"/>
      <sheetName val="MS 04"/>
      <sheetName val="MS 05"/>
      <sheetName val="MS 06"/>
      <sheetName val="MS 07"/>
      <sheetName val="MS 08_khối tỉnh"/>
      <sheetName val="60"/>
      <sheetName val="61"/>
      <sheetName val="62"/>
      <sheetName val="63"/>
      <sheetName val="64"/>
      <sheetName val="65"/>
      <sheetName val="66"/>
      <sheetName val="67"/>
      <sheetName val="68"/>
      <sheetName val="69"/>
      <sheetName val="7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UBND XÃ/PHƯỜNG</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ow r="1">
          <cell r="A1" t="str">
            <v>UBND XÃ/PHƯỜNG</v>
          </cell>
        </row>
      </sheetData>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_2"/>
      <sheetName val="48 - PL1"/>
      <sheetName val="49 - PL2"/>
      <sheetName val="50-PL3"/>
      <sheetName val="51-PL4"/>
      <sheetName val="52-PL5"/>
      <sheetName val="53-PL6"/>
      <sheetName val="54-PL7"/>
      <sheetName val="55-PL8"/>
      <sheetName val="56-PL9"/>
      <sheetName val="57-PL10"/>
      <sheetName val="61-PL11"/>
      <sheetName val="62-PL12"/>
      <sheetName val="63-PL13"/>
      <sheetName val="64-PL14"/>
      <sheetName val="60-342-PL15"/>
      <sheetName val="61-342-PL16"/>
      <sheetName val="62-342"/>
      <sheetName val="62 sở-PL17"/>
      <sheetName val="63-342-PL18"/>
      <sheetName val="64-342-PL19"/>
      <sheetName val="65-342-PL20"/>
      <sheetName val="66-342-PL21"/>
      <sheetName val="67-342-PL22"/>
      <sheetName val="68-342-PL23"/>
      <sheetName val="69-342-PL24"/>
      <sheetName val="70-342"/>
      <sheetName val="70 sở-PL25"/>
      <sheetName val="01 sở-PL26"/>
      <sheetName val="02 sở-PL27"/>
      <sheetName val="03 sở"/>
      <sheetName val="04 sở-PL28"/>
      <sheetName val="05 sở"/>
      <sheetName val="06 sở"/>
      <sheetName val="05 sở-PL29"/>
      <sheetName val="07 sở-PL30"/>
      <sheetName val="CT GNBV-PL31"/>
      <sheetName val="CT DT TS và MN-PL32"/>
      <sheetName val="CT NTM-PL33"/>
      <sheetName val="ĐTNS xã-PL34"/>
      <sheetName val="CCTL-PL35"/>
      <sheetName val="Mục lụ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A4" t="str">
            <v>(Kèm theo Báo cáo số:  125 /BC-UBND ngày 23/3/2026 của UBND xã Cao Minh)</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_TH"/>
      <sheetName val="02_NĐ81"/>
      <sheetName val="Miễn giảm HP NĐ81"/>
      <sheetName val="CPHT_NĐ 81_"/>
      <sheetName val="Chênh lệch HP"/>
      <sheetName val="NQ11_hỗ trợ HP nhà trẻ"/>
      <sheetName val="NQ11-ăn trưa nhà trẻ"/>
      <sheetName val="Hỗ trợ học phí-NQ 05"/>
      <sheetName val="Ăn trưa_NĐ105"/>
      <sheetName val="HS khuyết tật"/>
      <sheetName val="Dạy lớp ghép,TCTV"/>
      <sheetName val="NQ11 MN tư thục KCN"/>
      <sheetName val="Bán trú_NĐ116-66"/>
      <sheetName val="NQ44 HĐND"/>
      <sheetName val="SV DT thiểu số QĐ 66"/>
      <sheetName val="Học bổng QĐ 53"/>
      <sheetName val="Học bổng HSDTNT"/>
      <sheetName val="Rất ít người_NĐ57"/>
      <sheetName val="NĐ116- SV sư phạm"/>
      <sheetName val="BHYT"/>
      <sheetName val="BH.2"/>
      <sheetName val="BH.3"/>
      <sheetName val="BHXH"/>
      <sheetName val="BTXH20,76"/>
      <sheetName val="Tiền điện"/>
      <sheetName val="NCUT"/>
      <sheetName val="Hưu trí XH"/>
      <sheetName val="TLP, lúa"/>
      <sheetName val="GV dạy HSKT"/>
      <sheetName val="GVTH dạy lớp ghép"/>
      <sheetName val="KP khoán"/>
      <sheetName val="NQ 14 tiếng anh"/>
    </sheetNames>
    <sheetDataSet>
      <sheetData sheetId="0">
        <row r="3">
          <cell r="A3" t="str">
            <v>(Kèm theo Báo cáo số           /BC-UBND ngày  20/3/2026 của UBND phường Bắc Kạn)</v>
          </cell>
        </row>
      </sheetData>
      <sheetData sheetId="1"/>
      <sheetData sheetId="2">
        <row r="12">
          <cell r="AX12">
            <v>116.16</v>
          </cell>
        </row>
        <row r="13">
          <cell r="P13">
            <v>64.403999999999996</v>
          </cell>
          <cell r="AX13">
            <v>336</v>
          </cell>
        </row>
        <row r="14">
          <cell r="E14">
            <v>154</v>
          </cell>
          <cell r="P14">
            <v>55.368000000000002</v>
          </cell>
          <cell r="AC14">
            <v>364</v>
          </cell>
          <cell r="AX14">
            <v>349.44</v>
          </cell>
        </row>
        <row r="16">
          <cell r="AC16">
            <v>885</v>
          </cell>
          <cell r="AY16">
            <v>849.6</v>
          </cell>
        </row>
        <row r="17">
          <cell r="E17">
            <v>19</v>
          </cell>
          <cell r="P17">
            <v>3.5339999999999998</v>
          </cell>
          <cell r="AC17">
            <v>479</v>
          </cell>
          <cell r="AX17">
            <v>459.84</v>
          </cell>
        </row>
        <row r="18">
          <cell r="E18">
            <v>18</v>
          </cell>
          <cell r="P18">
            <v>5.85</v>
          </cell>
          <cell r="AC18">
            <v>1395</v>
          </cell>
          <cell r="AN18">
            <v>1562.4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SN GNBV"/>
      <sheetName val="SN DTTS"/>
      <sheetName val="ĐT DTTS"/>
      <sheetName val="SN NTM"/>
      <sheetName val="ĐT NTM"/>
      <sheetName val="Biểu 02 PB lại"/>
      <sheetName val="Biểu 03 PB lại"/>
    </sheetNames>
    <sheetDataSet>
      <sheetData sheetId="0"/>
      <sheetData sheetId="1"/>
      <sheetData sheetId="2">
        <row r="9">
          <cell r="X9">
            <v>-9013059000</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4.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42.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4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4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3"/>
  <sheetViews>
    <sheetView workbookViewId="0">
      <selection activeCell="B101" sqref="B101"/>
    </sheetView>
  </sheetViews>
  <sheetFormatPr defaultColWidth="9.140625" defaultRowHeight="15.75" x14ac:dyDescent="0.25"/>
  <cols>
    <col min="1" max="1" width="18.85546875" style="10" customWidth="1"/>
    <col min="2" max="2" width="53.140625" style="9" customWidth="1"/>
    <col min="3" max="3" width="58.42578125" style="9" customWidth="1"/>
    <col min="4" max="4" width="9.140625" style="8" hidden="1" customWidth="1"/>
    <col min="5" max="5" width="12.85546875" style="8" hidden="1" customWidth="1"/>
    <col min="6" max="6" width="9.140625" style="9" customWidth="1"/>
    <col min="7" max="16384" width="9.140625" style="9"/>
  </cols>
  <sheetData>
    <row r="1" spans="1:5" ht="18.75" x14ac:dyDescent="0.25">
      <c r="A1" s="3102" t="s">
        <v>375</v>
      </c>
      <c r="B1" s="3102"/>
      <c r="C1" s="3102"/>
      <c r="D1" s="3102"/>
      <c r="E1" s="3102"/>
    </row>
    <row r="2" spans="1:5" ht="39" customHeight="1" x14ac:dyDescent="0.25">
      <c r="A2" s="3101" t="s">
        <v>398</v>
      </c>
      <c r="B2" s="3101"/>
      <c r="C2" s="3101"/>
      <c r="D2" s="3101"/>
      <c r="E2" s="3101"/>
    </row>
    <row r="3" spans="1:5" x14ac:dyDescent="0.25">
      <c r="A3" s="3099"/>
      <c r="B3" s="3100"/>
      <c r="C3" s="3100"/>
    </row>
    <row r="4" spans="1:5" ht="36" customHeight="1" x14ac:dyDescent="0.25">
      <c r="A4" s="5" t="s">
        <v>395</v>
      </c>
      <c r="B4" s="6" t="s">
        <v>1</v>
      </c>
      <c r="C4" s="6" t="s">
        <v>396</v>
      </c>
      <c r="E4" s="6" t="s">
        <v>394</v>
      </c>
    </row>
    <row r="5" spans="1:5" hidden="1" x14ac:dyDescent="0.25">
      <c r="A5" s="11" t="s">
        <v>177</v>
      </c>
      <c r="B5" s="12" t="s">
        <v>178</v>
      </c>
      <c r="C5" s="13"/>
      <c r="E5" s="23"/>
    </row>
    <row r="6" spans="1:5" ht="20.25" hidden="1" customHeight="1" x14ac:dyDescent="0.25">
      <c r="A6" s="14" t="s">
        <v>179</v>
      </c>
      <c r="B6" s="15" t="s">
        <v>180</v>
      </c>
      <c r="C6" s="3095" t="s">
        <v>181</v>
      </c>
      <c r="E6" s="3091" t="str">
        <f>+IF(D6="x",0,"x")</f>
        <v>x</v>
      </c>
    </row>
    <row r="7" spans="1:5" ht="31.5" hidden="1" x14ac:dyDescent="0.25">
      <c r="A7" s="14" t="s">
        <v>182</v>
      </c>
      <c r="B7" s="15" t="s">
        <v>183</v>
      </c>
      <c r="C7" s="3095"/>
      <c r="E7" s="3091" t="str">
        <f t="shared" ref="E7:E41" si="0">+IF(D7="x",0,"x")</f>
        <v>x</v>
      </c>
    </row>
    <row r="8" spans="1:5" ht="21.75" hidden="1" customHeight="1" x14ac:dyDescent="0.25">
      <c r="A8" s="14" t="s">
        <v>184</v>
      </c>
      <c r="B8" s="15" t="s">
        <v>185</v>
      </c>
      <c r="C8" s="3095"/>
      <c r="E8" s="3091" t="str">
        <f t="shared" si="0"/>
        <v>x</v>
      </c>
    </row>
    <row r="9" spans="1:5" ht="47.25" hidden="1" x14ac:dyDescent="0.25">
      <c r="A9" s="14" t="s">
        <v>186</v>
      </c>
      <c r="B9" s="15" t="s">
        <v>187</v>
      </c>
      <c r="C9" s="15" t="s">
        <v>188</v>
      </c>
      <c r="E9" s="7" t="str">
        <f t="shared" si="0"/>
        <v>x</v>
      </c>
    </row>
    <row r="10" spans="1:5" hidden="1" x14ac:dyDescent="0.25">
      <c r="A10" s="11" t="s">
        <v>189</v>
      </c>
      <c r="B10" s="12" t="s">
        <v>190</v>
      </c>
      <c r="C10" s="13"/>
      <c r="E10" s="23"/>
    </row>
    <row r="11" spans="1:5" ht="39" hidden="1" customHeight="1" x14ac:dyDescent="0.25">
      <c r="A11" s="14" t="s">
        <v>191</v>
      </c>
      <c r="B11" s="15" t="s">
        <v>192</v>
      </c>
      <c r="C11" s="3096" t="s">
        <v>381</v>
      </c>
      <c r="E11" s="3092" t="str">
        <f t="shared" si="0"/>
        <v>x</v>
      </c>
    </row>
    <row r="12" spans="1:5" ht="39" hidden="1" customHeight="1" x14ac:dyDescent="0.25">
      <c r="A12" s="14" t="s">
        <v>193</v>
      </c>
      <c r="B12" s="15" t="s">
        <v>194</v>
      </c>
      <c r="C12" s="3098"/>
      <c r="E12" s="3094" t="str">
        <f t="shared" si="0"/>
        <v>x</v>
      </c>
    </row>
    <row r="13" spans="1:5" ht="47.25" hidden="1" x14ac:dyDescent="0.25">
      <c r="A13" s="14" t="s">
        <v>195</v>
      </c>
      <c r="B13" s="15" t="s">
        <v>196</v>
      </c>
      <c r="C13" s="15" t="s">
        <v>377</v>
      </c>
      <c r="E13" s="7" t="str">
        <f t="shared" si="0"/>
        <v>x</v>
      </c>
    </row>
    <row r="14" spans="1:5" ht="78.75" hidden="1" x14ac:dyDescent="0.25">
      <c r="A14" s="14" t="s">
        <v>197</v>
      </c>
      <c r="B14" s="15" t="s">
        <v>198</v>
      </c>
      <c r="C14" s="15" t="s">
        <v>382</v>
      </c>
      <c r="E14" s="7" t="str">
        <f t="shared" si="0"/>
        <v>x</v>
      </c>
    </row>
    <row r="15" spans="1:5" ht="78.75" hidden="1" x14ac:dyDescent="0.25">
      <c r="A15" s="14" t="s">
        <v>199</v>
      </c>
      <c r="B15" s="15" t="s">
        <v>200</v>
      </c>
      <c r="C15" s="15" t="s">
        <v>382</v>
      </c>
      <c r="E15" s="7" t="str">
        <f t="shared" si="0"/>
        <v>x</v>
      </c>
    </row>
    <row r="16" spans="1:5" ht="78.75" hidden="1" x14ac:dyDescent="0.25">
      <c r="A16" s="14" t="s">
        <v>201</v>
      </c>
      <c r="B16" s="15" t="s">
        <v>202</v>
      </c>
      <c r="C16" s="15" t="s">
        <v>383</v>
      </c>
      <c r="D16" s="8" t="s">
        <v>376</v>
      </c>
      <c r="E16" s="7"/>
    </row>
    <row r="17" spans="1:5" ht="72.75" hidden="1" customHeight="1" x14ac:dyDescent="0.25">
      <c r="A17" s="14" t="s">
        <v>203</v>
      </c>
      <c r="B17" s="15" t="s">
        <v>204</v>
      </c>
      <c r="C17" s="15" t="s">
        <v>384</v>
      </c>
      <c r="E17" s="7" t="str">
        <f t="shared" si="0"/>
        <v>x</v>
      </c>
    </row>
    <row r="18" spans="1:5" ht="94.5" hidden="1" x14ac:dyDescent="0.25">
      <c r="A18" s="14" t="s">
        <v>205</v>
      </c>
      <c r="B18" s="15" t="s">
        <v>204</v>
      </c>
      <c r="C18" s="15" t="s">
        <v>385</v>
      </c>
      <c r="E18" s="7" t="str">
        <f t="shared" si="0"/>
        <v>x</v>
      </c>
    </row>
    <row r="19" spans="1:5" ht="47.25" hidden="1" x14ac:dyDescent="0.25">
      <c r="A19" s="14" t="s">
        <v>206</v>
      </c>
      <c r="B19" s="15" t="s">
        <v>207</v>
      </c>
      <c r="C19" s="15" t="s">
        <v>386</v>
      </c>
      <c r="E19" s="7" t="str">
        <f t="shared" si="0"/>
        <v>x</v>
      </c>
    </row>
    <row r="20" spans="1:5" ht="71.25" hidden="1" customHeight="1" x14ac:dyDescent="0.25">
      <c r="A20" s="14" t="s">
        <v>46</v>
      </c>
      <c r="B20" s="15" t="s">
        <v>208</v>
      </c>
      <c r="C20" s="15" t="s">
        <v>387</v>
      </c>
      <c r="E20" s="7" t="str">
        <f t="shared" si="0"/>
        <v>x</v>
      </c>
    </row>
    <row r="21" spans="1:5" ht="78.75" hidden="1" customHeight="1" x14ac:dyDescent="0.25">
      <c r="A21" s="14" t="s">
        <v>209</v>
      </c>
      <c r="B21" s="15" t="s">
        <v>208</v>
      </c>
      <c r="C21" s="15" t="s">
        <v>388</v>
      </c>
      <c r="E21" s="7" t="str">
        <f t="shared" si="0"/>
        <v>x</v>
      </c>
    </row>
    <row r="22" spans="1:5" ht="63" hidden="1" x14ac:dyDescent="0.25">
      <c r="A22" s="14" t="s">
        <v>210</v>
      </c>
      <c r="B22" s="15" t="s">
        <v>208</v>
      </c>
      <c r="C22" s="15" t="s">
        <v>389</v>
      </c>
      <c r="E22" s="7" t="str">
        <f t="shared" si="0"/>
        <v>x</v>
      </c>
    </row>
    <row r="23" spans="1:5" ht="63" hidden="1" x14ac:dyDescent="0.25">
      <c r="A23" s="14" t="s">
        <v>211</v>
      </c>
      <c r="B23" s="15" t="s">
        <v>208</v>
      </c>
      <c r="C23" s="15" t="s">
        <v>390</v>
      </c>
      <c r="E23" s="7" t="str">
        <f t="shared" si="0"/>
        <v>x</v>
      </c>
    </row>
    <row r="24" spans="1:5" ht="31.5" hidden="1" x14ac:dyDescent="0.25">
      <c r="A24" s="14" t="s">
        <v>212</v>
      </c>
      <c r="B24" s="15" t="s">
        <v>213</v>
      </c>
      <c r="C24" s="3096" t="s">
        <v>377</v>
      </c>
      <c r="E24" s="3092" t="str">
        <f t="shared" si="0"/>
        <v>x</v>
      </c>
    </row>
    <row r="25" spans="1:5" hidden="1" x14ac:dyDescent="0.25">
      <c r="A25" s="14" t="s">
        <v>214</v>
      </c>
      <c r="B25" s="15" t="s">
        <v>215</v>
      </c>
      <c r="C25" s="3097"/>
      <c r="E25" s="3093" t="str">
        <f t="shared" si="0"/>
        <v>x</v>
      </c>
    </row>
    <row r="26" spans="1:5" hidden="1" x14ac:dyDescent="0.25">
      <c r="A26" s="14" t="s">
        <v>216</v>
      </c>
      <c r="B26" s="15" t="s">
        <v>217</v>
      </c>
      <c r="C26" s="3097"/>
      <c r="E26" s="3093" t="str">
        <f t="shared" si="0"/>
        <v>x</v>
      </c>
    </row>
    <row r="27" spans="1:5" hidden="1" x14ac:dyDescent="0.25">
      <c r="A27" s="14" t="s">
        <v>218</v>
      </c>
      <c r="B27" s="15" t="s">
        <v>219</v>
      </c>
      <c r="C27" s="3097"/>
      <c r="E27" s="3093" t="str">
        <f t="shared" si="0"/>
        <v>x</v>
      </c>
    </row>
    <row r="28" spans="1:5" ht="31.5" hidden="1" x14ac:dyDescent="0.25">
      <c r="A28" s="14" t="s">
        <v>220</v>
      </c>
      <c r="B28" s="15" t="s">
        <v>221</v>
      </c>
      <c r="C28" s="3097"/>
      <c r="E28" s="3093" t="str">
        <f t="shared" si="0"/>
        <v>x</v>
      </c>
    </row>
    <row r="29" spans="1:5" hidden="1" x14ac:dyDescent="0.25">
      <c r="A29" s="14" t="s">
        <v>222</v>
      </c>
      <c r="B29" s="15" t="s">
        <v>223</v>
      </c>
      <c r="C29" s="3097"/>
      <c r="E29" s="3093" t="str">
        <f t="shared" si="0"/>
        <v>x</v>
      </c>
    </row>
    <row r="30" spans="1:5" hidden="1" x14ac:dyDescent="0.25">
      <c r="A30" s="14" t="s">
        <v>224</v>
      </c>
      <c r="B30" s="15" t="s">
        <v>225</v>
      </c>
      <c r="C30" s="3097"/>
      <c r="E30" s="3093" t="str">
        <f t="shared" si="0"/>
        <v>x</v>
      </c>
    </row>
    <row r="31" spans="1:5" hidden="1" x14ac:dyDescent="0.25">
      <c r="A31" s="14" t="s">
        <v>226</v>
      </c>
      <c r="B31" s="15" t="s">
        <v>227</v>
      </c>
      <c r="C31" s="3097"/>
      <c r="E31" s="3093" t="str">
        <f t="shared" si="0"/>
        <v>x</v>
      </c>
    </row>
    <row r="32" spans="1:5" ht="31.5" hidden="1" x14ac:dyDescent="0.25">
      <c r="A32" s="14" t="s">
        <v>228</v>
      </c>
      <c r="B32" s="15" t="s">
        <v>229</v>
      </c>
      <c r="C32" s="3097"/>
      <c r="E32" s="3093" t="str">
        <f t="shared" si="0"/>
        <v>x</v>
      </c>
    </row>
    <row r="33" spans="1:5" ht="31.5" hidden="1" x14ac:dyDescent="0.25">
      <c r="A33" s="14" t="s">
        <v>230</v>
      </c>
      <c r="B33" s="15" t="s">
        <v>231</v>
      </c>
      <c r="C33" s="3098"/>
      <c r="E33" s="3094" t="str">
        <f t="shared" si="0"/>
        <v>x</v>
      </c>
    </row>
    <row r="34" spans="1:5" ht="63" hidden="1" x14ac:dyDescent="0.25">
      <c r="A34" s="14" t="s">
        <v>232</v>
      </c>
      <c r="B34" s="15" t="s">
        <v>233</v>
      </c>
      <c r="C34" s="15" t="s">
        <v>391</v>
      </c>
      <c r="E34" s="7" t="str">
        <f t="shared" si="0"/>
        <v>x</v>
      </c>
    </row>
    <row r="35" spans="1:5" ht="31.5" hidden="1" x14ac:dyDescent="0.25">
      <c r="A35" s="14" t="s">
        <v>234</v>
      </c>
      <c r="B35" s="15" t="s">
        <v>235</v>
      </c>
      <c r="C35" s="15" t="s">
        <v>236</v>
      </c>
      <c r="E35" s="7" t="str">
        <f t="shared" si="0"/>
        <v>x</v>
      </c>
    </row>
    <row r="36" spans="1:5" ht="31.5" hidden="1" x14ac:dyDescent="0.25">
      <c r="A36" s="14" t="s">
        <v>237</v>
      </c>
      <c r="B36" s="15" t="s">
        <v>238</v>
      </c>
      <c r="C36" s="3096" t="s">
        <v>377</v>
      </c>
      <c r="E36" s="3092" t="str">
        <f t="shared" si="0"/>
        <v>x</v>
      </c>
    </row>
    <row r="37" spans="1:5" ht="31.5" hidden="1" x14ac:dyDescent="0.25">
      <c r="A37" s="14" t="s">
        <v>239</v>
      </c>
      <c r="B37" s="15" t="s">
        <v>240</v>
      </c>
      <c r="C37" s="3097"/>
      <c r="E37" s="3093" t="str">
        <f t="shared" si="0"/>
        <v>x</v>
      </c>
    </row>
    <row r="38" spans="1:5" ht="31.5" hidden="1" x14ac:dyDescent="0.25">
      <c r="A38" s="14" t="s">
        <v>241</v>
      </c>
      <c r="B38" s="15" t="s">
        <v>242</v>
      </c>
      <c r="C38" s="3098"/>
      <c r="E38" s="3094" t="str">
        <f t="shared" si="0"/>
        <v>x</v>
      </c>
    </row>
    <row r="39" spans="1:5" ht="84" hidden="1" customHeight="1" x14ac:dyDescent="0.25">
      <c r="A39" s="22" t="s">
        <v>243</v>
      </c>
      <c r="B39" s="15" t="s">
        <v>244</v>
      </c>
      <c r="C39" s="15" t="s">
        <v>392</v>
      </c>
      <c r="D39" s="8" t="s">
        <v>376</v>
      </c>
      <c r="E39" s="7"/>
    </row>
    <row r="40" spans="1:5" ht="47.25" hidden="1" x14ac:dyDescent="0.25">
      <c r="A40" s="22" t="s">
        <v>245</v>
      </c>
      <c r="B40" s="15" t="s">
        <v>246</v>
      </c>
      <c r="C40" s="15" t="s">
        <v>247</v>
      </c>
      <c r="D40" s="8" t="s">
        <v>376</v>
      </c>
      <c r="E40" s="7"/>
    </row>
    <row r="41" spans="1:5" ht="31.5" hidden="1" x14ac:dyDescent="0.25">
      <c r="A41" s="14" t="s">
        <v>248</v>
      </c>
      <c r="B41" s="15" t="s">
        <v>249</v>
      </c>
      <c r="C41" s="15" t="s">
        <v>250</v>
      </c>
      <c r="E41" s="7" t="str">
        <f t="shared" si="0"/>
        <v>x</v>
      </c>
    </row>
    <row r="42" spans="1:5" ht="31.5" hidden="1" x14ac:dyDescent="0.25">
      <c r="A42" s="11" t="s">
        <v>251</v>
      </c>
      <c r="B42" s="12" t="s">
        <v>252</v>
      </c>
      <c r="C42" s="13"/>
      <c r="E42" s="23"/>
    </row>
    <row r="43" spans="1:5" hidden="1" x14ac:dyDescent="0.25">
      <c r="A43" s="16" t="s">
        <v>253</v>
      </c>
      <c r="B43" s="15" t="s">
        <v>254</v>
      </c>
      <c r="C43" s="3096" t="s">
        <v>378</v>
      </c>
      <c r="D43" s="8" t="s">
        <v>376</v>
      </c>
      <c r="E43" s="3092"/>
    </row>
    <row r="44" spans="1:5" hidden="1" x14ac:dyDescent="0.25">
      <c r="A44" s="16" t="s">
        <v>255</v>
      </c>
      <c r="B44" s="15" t="s">
        <v>256</v>
      </c>
      <c r="C44" s="3097"/>
      <c r="D44" s="8" t="s">
        <v>376</v>
      </c>
      <c r="E44" s="3093"/>
    </row>
    <row r="45" spans="1:5" hidden="1" x14ac:dyDescent="0.25">
      <c r="A45" s="16" t="s">
        <v>257</v>
      </c>
      <c r="B45" s="15" t="s">
        <v>258</v>
      </c>
      <c r="C45" s="3097"/>
      <c r="D45" s="8" t="s">
        <v>376</v>
      </c>
      <c r="E45" s="3093"/>
    </row>
    <row r="46" spans="1:5" hidden="1" x14ac:dyDescent="0.25">
      <c r="A46" s="16" t="s">
        <v>259</v>
      </c>
      <c r="B46" s="15" t="s">
        <v>397</v>
      </c>
      <c r="C46" s="3098"/>
      <c r="D46" s="8" t="s">
        <v>376</v>
      </c>
      <c r="E46" s="3094"/>
    </row>
    <row r="47" spans="1:5" hidden="1" x14ac:dyDescent="0.25">
      <c r="A47" s="11" t="s">
        <v>260</v>
      </c>
      <c r="B47" s="12" t="s">
        <v>261</v>
      </c>
      <c r="C47" s="13"/>
      <c r="E47" s="23"/>
    </row>
    <row r="48" spans="1:5" hidden="1" x14ac:dyDescent="0.25">
      <c r="A48" s="14" t="s">
        <v>262</v>
      </c>
      <c r="B48" s="15" t="s">
        <v>263</v>
      </c>
      <c r="C48" s="3096" t="s">
        <v>380</v>
      </c>
      <c r="E48" s="3092" t="str">
        <f t="shared" ref="E48:E62" si="1">+IF(D48="x",0,"x")</f>
        <v>x</v>
      </c>
    </row>
    <row r="49" spans="1:5" ht="63" hidden="1" x14ac:dyDescent="0.25">
      <c r="A49" s="14" t="s">
        <v>264</v>
      </c>
      <c r="B49" s="15" t="s">
        <v>265</v>
      </c>
      <c r="C49" s="3097"/>
      <c r="E49" s="3093" t="str">
        <f t="shared" si="1"/>
        <v>x</v>
      </c>
    </row>
    <row r="50" spans="1:5" ht="47.25" hidden="1" x14ac:dyDescent="0.25">
      <c r="A50" s="14" t="s">
        <v>266</v>
      </c>
      <c r="B50" s="15" t="s">
        <v>267</v>
      </c>
      <c r="C50" s="3098"/>
      <c r="E50" s="3094" t="str">
        <f t="shared" si="1"/>
        <v>x</v>
      </c>
    </row>
    <row r="51" spans="1:5" ht="63" hidden="1" x14ac:dyDescent="0.25">
      <c r="A51" s="14" t="s">
        <v>268</v>
      </c>
      <c r="B51" s="15" t="s">
        <v>269</v>
      </c>
      <c r="C51" s="15" t="s">
        <v>379</v>
      </c>
      <c r="E51" s="7" t="str">
        <f t="shared" si="1"/>
        <v>x</v>
      </c>
    </row>
    <row r="52" spans="1:5" ht="31.5" hidden="1" x14ac:dyDescent="0.25">
      <c r="A52" s="14" t="s">
        <v>270</v>
      </c>
      <c r="B52" s="15" t="s">
        <v>271</v>
      </c>
      <c r="C52" s="15" t="s">
        <v>272</v>
      </c>
      <c r="E52" s="7" t="str">
        <f t="shared" si="1"/>
        <v>x</v>
      </c>
    </row>
    <row r="53" spans="1:5" hidden="1" x14ac:dyDescent="0.25">
      <c r="A53" s="11" t="s">
        <v>273</v>
      </c>
      <c r="B53" s="12" t="s">
        <v>274</v>
      </c>
      <c r="C53" s="13"/>
      <c r="E53" s="23"/>
    </row>
    <row r="54" spans="1:5" hidden="1" x14ac:dyDescent="0.25">
      <c r="A54" s="14" t="s">
        <v>275</v>
      </c>
      <c r="B54" s="15" t="s">
        <v>276</v>
      </c>
      <c r="C54" s="3095" t="s">
        <v>277</v>
      </c>
      <c r="E54" s="3091" t="str">
        <f t="shared" si="1"/>
        <v>x</v>
      </c>
    </row>
    <row r="55" spans="1:5" ht="31.5" hidden="1" x14ac:dyDescent="0.25">
      <c r="A55" s="14" t="s">
        <v>278</v>
      </c>
      <c r="B55" s="15" t="s">
        <v>279</v>
      </c>
      <c r="C55" s="3095"/>
      <c r="E55" s="3091" t="str">
        <f t="shared" si="1"/>
        <v>x</v>
      </c>
    </row>
    <row r="56" spans="1:5" ht="31.5" hidden="1" x14ac:dyDescent="0.25">
      <c r="A56" s="14" t="s">
        <v>280</v>
      </c>
      <c r="B56" s="15" t="s">
        <v>281</v>
      </c>
      <c r="C56" s="3095"/>
      <c r="E56" s="3091" t="str">
        <f t="shared" si="1"/>
        <v>x</v>
      </c>
    </row>
    <row r="57" spans="1:5" ht="31.5" hidden="1" x14ac:dyDescent="0.25">
      <c r="A57" s="14" t="s">
        <v>282</v>
      </c>
      <c r="B57" s="15" t="s">
        <v>283</v>
      </c>
      <c r="C57" s="3095"/>
      <c r="E57" s="3091" t="str">
        <f t="shared" si="1"/>
        <v>x</v>
      </c>
    </row>
    <row r="58" spans="1:5" hidden="1" x14ac:dyDescent="0.25">
      <c r="A58" s="14" t="s">
        <v>284</v>
      </c>
      <c r="B58" s="15" t="s">
        <v>285</v>
      </c>
      <c r="C58" s="3095"/>
      <c r="E58" s="3091" t="str">
        <f t="shared" si="1"/>
        <v>x</v>
      </c>
    </row>
    <row r="59" spans="1:5" hidden="1" x14ac:dyDescent="0.25">
      <c r="A59" s="14" t="s">
        <v>286</v>
      </c>
      <c r="B59" s="15" t="s">
        <v>287</v>
      </c>
      <c r="C59" s="3095"/>
      <c r="E59" s="3091" t="str">
        <f t="shared" si="1"/>
        <v>x</v>
      </c>
    </row>
    <row r="60" spans="1:5" ht="47.25" hidden="1" x14ac:dyDescent="0.25">
      <c r="A60" s="14" t="s">
        <v>288</v>
      </c>
      <c r="B60" s="15" t="s">
        <v>289</v>
      </c>
      <c r="C60" s="3095" t="s">
        <v>277</v>
      </c>
      <c r="E60" s="3091" t="str">
        <f t="shared" si="1"/>
        <v>x</v>
      </c>
    </row>
    <row r="61" spans="1:5" ht="31.5" hidden="1" x14ac:dyDescent="0.25">
      <c r="A61" s="14" t="s">
        <v>290</v>
      </c>
      <c r="B61" s="15" t="s">
        <v>291</v>
      </c>
      <c r="C61" s="3095"/>
      <c r="E61" s="3091" t="str">
        <f t="shared" si="1"/>
        <v>x</v>
      </c>
    </row>
    <row r="62" spans="1:5" ht="31.5" hidden="1" x14ac:dyDescent="0.25">
      <c r="A62" s="14" t="s">
        <v>292</v>
      </c>
      <c r="B62" s="15" t="s">
        <v>293</v>
      </c>
      <c r="C62" s="3095"/>
      <c r="E62" s="3091" t="str">
        <f t="shared" si="1"/>
        <v>x</v>
      </c>
    </row>
    <row r="63" spans="1:5" ht="31.5" hidden="1" x14ac:dyDescent="0.25">
      <c r="A63" s="11" t="s">
        <v>294</v>
      </c>
      <c r="B63" s="12" t="s">
        <v>295</v>
      </c>
      <c r="C63" s="13"/>
      <c r="E63" s="23"/>
    </row>
    <row r="64" spans="1:5" hidden="1" x14ac:dyDescent="0.25">
      <c r="A64" s="17">
        <v>1</v>
      </c>
      <c r="B64" s="18" t="s">
        <v>296</v>
      </c>
      <c r="C64" s="15"/>
      <c r="E64" s="7"/>
    </row>
    <row r="65" spans="1:5" hidden="1" x14ac:dyDescent="0.25">
      <c r="A65" s="16" t="s">
        <v>297</v>
      </c>
      <c r="B65" s="15" t="s">
        <v>192</v>
      </c>
      <c r="C65" s="3095" t="s">
        <v>298</v>
      </c>
      <c r="D65" s="8" t="s">
        <v>376</v>
      </c>
      <c r="E65" s="3091"/>
    </row>
    <row r="66" spans="1:5" hidden="1" x14ac:dyDescent="0.25">
      <c r="A66" s="16" t="s">
        <v>299</v>
      </c>
      <c r="B66" s="15" t="s">
        <v>300</v>
      </c>
      <c r="C66" s="3095"/>
      <c r="D66" s="8" t="s">
        <v>376</v>
      </c>
      <c r="E66" s="3091"/>
    </row>
    <row r="67" spans="1:5" ht="31.5" hidden="1" x14ac:dyDescent="0.25">
      <c r="A67" s="16" t="s">
        <v>301</v>
      </c>
      <c r="B67" s="15" t="s">
        <v>302</v>
      </c>
      <c r="C67" s="3095"/>
      <c r="D67" s="8" t="s">
        <v>376</v>
      </c>
      <c r="E67" s="3091"/>
    </row>
    <row r="68" spans="1:5" ht="47.25" hidden="1" x14ac:dyDescent="0.25">
      <c r="A68" s="16" t="s">
        <v>303</v>
      </c>
      <c r="B68" s="15" t="s">
        <v>304</v>
      </c>
      <c r="C68" s="3095"/>
      <c r="D68" s="8" t="s">
        <v>376</v>
      </c>
      <c r="E68" s="3091"/>
    </row>
    <row r="69" spans="1:5" ht="47.25" hidden="1" x14ac:dyDescent="0.25">
      <c r="A69" s="16" t="s">
        <v>305</v>
      </c>
      <c r="B69" s="15" t="s">
        <v>306</v>
      </c>
      <c r="C69" s="3095"/>
      <c r="D69" s="8" t="s">
        <v>376</v>
      </c>
      <c r="E69" s="3091"/>
    </row>
    <row r="70" spans="1:5" hidden="1" x14ac:dyDescent="0.25">
      <c r="A70" s="16" t="s">
        <v>307</v>
      </c>
      <c r="B70" s="15" t="s">
        <v>308</v>
      </c>
      <c r="C70" s="3095"/>
      <c r="D70" s="8" t="s">
        <v>376</v>
      </c>
      <c r="E70" s="3091"/>
    </row>
    <row r="71" spans="1:5" ht="31.5" hidden="1" x14ac:dyDescent="0.25">
      <c r="A71" s="16" t="s">
        <v>309</v>
      </c>
      <c r="B71" s="15" t="s">
        <v>310</v>
      </c>
      <c r="C71" s="3095"/>
      <c r="D71" s="8" t="s">
        <v>376</v>
      </c>
      <c r="E71" s="3091"/>
    </row>
    <row r="72" spans="1:5" hidden="1" x14ac:dyDescent="0.25">
      <c r="A72" s="16" t="s">
        <v>311</v>
      </c>
      <c r="B72" s="15" t="s">
        <v>312</v>
      </c>
      <c r="C72" s="3095"/>
      <c r="D72" s="8" t="s">
        <v>376</v>
      </c>
      <c r="E72" s="3091"/>
    </row>
    <row r="73" spans="1:5" ht="47.25" hidden="1" x14ac:dyDescent="0.25">
      <c r="A73" s="16" t="s">
        <v>313</v>
      </c>
      <c r="B73" s="15" t="s">
        <v>314</v>
      </c>
      <c r="C73" s="3095"/>
      <c r="D73" s="8" t="s">
        <v>376</v>
      </c>
      <c r="E73" s="3091"/>
    </row>
    <row r="74" spans="1:5" ht="63" hidden="1" x14ac:dyDescent="0.25">
      <c r="A74" s="16" t="s">
        <v>315</v>
      </c>
      <c r="B74" s="15" t="s">
        <v>316</v>
      </c>
      <c r="C74" s="3095"/>
      <c r="D74" s="8" t="s">
        <v>376</v>
      </c>
      <c r="E74" s="3091"/>
    </row>
    <row r="75" spans="1:5" ht="63" hidden="1" x14ac:dyDescent="0.25">
      <c r="A75" s="16" t="s">
        <v>317</v>
      </c>
      <c r="B75" s="15" t="s">
        <v>318</v>
      </c>
      <c r="C75" s="3095"/>
      <c r="D75" s="8" t="s">
        <v>376</v>
      </c>
      <c r="E75" s="3091"/>
    </row>
    <row r="76" spans="1:5" ht="63" hidden="1" x14ac:dyDescent="0.25">
      <c r="A76" s="16" t="s">
        <v>319</v>
      </c>
      <c r="B76" s="15" t="s">
        <v>320</v>
      </c>
      <c r="C76" s="3095"/>
      <c r="D76" s="8" t="s">
        <v>376</v>
      </c>
      <c r="E76" s="3091"/>
    </row>
    <row r="77" spans="1:5" hidden="1" x14ac:dyDescent="0.25">
      <c r="A77" s="14" t="s">
        <v>321</v>
      </c>
      <c r="B77" s="15" t="s">
        <v>192</v>
      </c>
      <c r="C77" s="3095" t="s">
        <v>322</v>
      </c>
      <c r="E77" s="3091" t="str">
        <f>+IF(D77="x",0,"x")</f>
        <v>x</v>
      </c>
    </row>
    <row r="78" spans="1:5" hidden="1" x14ac:dyDescent="0.25">
      <c r="A78" s="14" t="s">
        <v>323</v>
      </c>
      <c r="B78" s="15" t="s">
        <v>300</v>
      </c>
      <c r="C78" s="3095"/>
      <c r="E78" s="3091" t="str">
        <f>+IF(D78="x",0,"x")</f>
        <v>x</v>
      </c>
    </row>
    <row r="79" spans="1:5" hidden="1" x14ac:dyDescent="0.25">
      <c r="A79" s="17">
        <v>2</v>
      </c>
      <c r="B79" s="18" t="s">
        <v>324</v>
      </c>
      <c r="C79" s="15"/>
      <c r="E79" s="7"/>
    </row>
    <row r="80" spans="1:5" hidden="1" x14ac:dyDescent="0.25">
      <c r="A80" s="16" t="s">
        <v>325</v>
      </c>
      <c r="B80" s="15" t="s">
        <v>326</v>
      </c>
      <c r="C80" s="3095" t="s">
        <v>327</v>
      </c>
      <c r="D80" s="8" t="s">
        <v>376</v>
      </c>
      <c r="E80" s="3091"/>
    </row>
    <row r="81" spans="1:5" hidden="1" x14ac:dyDescent="0.25">
      <c r="A81" s="16" t="s">
        <v>328</v>
      </c>
      <c r="B81" s="15" t="s">
        <v>329</v>
      </c>
      <c r="C81" s="3095"/>
      <c r="D81" s="8" t="s">
        <v>376</v>
      </c>
      <c r="E81" s="3091"/>
    </row>
    <row r="82" spans="1:5" hidden="1" x14ac:dyDescent="0.25">
      <c r="A82" s="16" t="s">
        <v>330</v>
      </c>
      <c r="B82" s="15" t="s">
        <v>331</v>
      </c>
      <c r="C82" s="3095"/>
      <c r="D82" s="8" t="s">
        <v>376</v>
      </c>
      <c r="E82" s="3091"/>
    </row>
    <row r="83" spans="1:5" ht="31.5" hidden="1" x14ac:dyDescent="0.25">
      <c r="A83" s="14" t="s">
        <v>332</v>
      </c>
      <c r="B83" s="15" t="s">
        <v>329</v>
      </c>
      <c r="C83" s="15" t="s">
        <v>333</v>
      </c>
      <c r="E83" s="7" t="str">
        <f>+IF(D83="x",0,"x")</f>
        <v>x</v>
      </c>
    </row>
    <row r="84" spans="1:5" ht="31.5" hidden="1" x14ac:dyDescent="0.25">
      <c r="A84" s="16" t="s">
        <v>334</v>
      </c>
      <c r="B84" s="15" t="s">
        <v>335</v>
      </c>
      <c r="C84" s="15" t="s">
        <v>336</v>
      </c>
      <c r="D84" s="8" t="s">
        <v>376</v>
      </c>
      <c r="E84" s="7"/>
    </row>
    <row r="85" spans="1:5" hidden="1" x14ac:dyDescent="0.25">
      <c r="A85" s="14" t="s">
        <v>337</v>
      </c>
      <c r="B85" s="15" t="s">
        <v>338</v>
      </c>
      <c r="C85" s="3095" t="s">
        <v>339</v>
      </c>
      <c r="E85" s="3091" t="str">
        <f>+IF(D85="x",0,"x")</f>
        <v>x</v>
      </c>
    </row>
    <row r="86" spans="1:5" hidden="1" x14ac:dyDescent="0.25">
      <c r="A86" s="14" t="s">
        <v>340</v>
      </c>
      <c r="B86" s="15" t="s">
        <v>329</v>
      </c>
      <c r="C86" s="3095"/>
      <c r="E86" s="3091" t="str">
        <f>+IF(D86="x",0,"x")</f>
        <v>x</v>
      </c>
    </row>
    <row r="87" spans="1:5" hidden="1" x14ac:dyDescent="0.25">
      <c r="A87" s="14" t="s">
        <v>341</v>
      </c>
      <c r="B87" s="15" t="s">
        <v>342</v>
      </c>
      <c r="C87" s="3095"/>
      <c r="E87" s="3091" t="str">
        <f>+IF(D87="x",0,"x")</f>
        <v>x</v>
      </c>
    </row>
    <row r="88" spans="1:5" hidden="1" x14ac:dyDescent="0.25">
      <c r="A88" s="11" t="s">
        <v>343</v>
      </c>
      <c r="B88" s="12" t="s">
        <v>344</v>
      </c>
      <c r="C88" s="13"/>
      <c r="E88" s="23"/>
    </row>
    <row r="89" spans="1:5" ht="47.25" hidden="1" x14ac:dyDescent="0.25">
      <c r="A89" s="16" t="s">
        <v>345</v>
      </c>
      <c r="B89" s="15" t="s">
        <v>346</v>
      </c>
      <c r="C89" s="3095" t="s">
        <v>347</v>
      </c>
      <c r="D89" s="8" t="s">
        <v>376</v>
      </c>
      <c r="E89" s="3091"/>
    </row>
    <row r="90" spans="1:5" ht="47.25" hidden="1" x14ac:dyDescent="0.25">
      <c r="A90" s="16" t="s">
        <v>348</v>
      </c>
      <c r="B90" s="15" t="s">
        <v>349</v>
      </c>
      <c r="C90" s="3095"/>
      <c r="D90" s="8" t="s">
        <v>376</v>
      </c>
      <c r="E90" s="3091"/>
    </row>
    <row r="91" spans="1:5" x14ac:dyDescent="0.25">
      <c r="A91" s="14" t="s">
        <v>350</v>
      </c>
      <c r="B91" s="15" t="s">
        <v>351</v>
      </c>
      <c r="C91" s="3095" t="s">
        <v>352</v>
      </c>
      <c r="E91" s="3091" t="str">
        <f t="shared" ref="E91:E101" si="2">+IF(D91="x",0,"x")</f>
        <v>x</v>
      </c>
    </row>
    <row r="92" spans="1:5" x14ac:dyDescent="0.25">
      <c r="A92" s="14" t="s">
        <v>353</v>
      </c>
      <c r="B92" s="15" t="s">
        <v>354</v>
      </c>
      <c r="C92" s="3095"/>
      <c r="E92" s="3091" t="str">
        <f t="shared" si="2"/>
        <v>x</v>
      </c>
    </row>
    <row r="93" spans="1:5" x14ac:dyDescent="0.25">
      <c r="A93" s="14" t="s">
        <v>355</v>
      </c>
      <c r="B93" s="15" t="s">
        <v>356</v>
      </c>
      <c r="C93" s="3095"/>
      <c r="E93" s="3091" t="str">
        <f t="shared" si="2"/>
        <v>x</v>
      </c>
    </row>
    <row r="94" spans="1:5" ht="31.5" x14ac:dyDescent="0.25">
      <c r="A94" s="14" t="s">
        <v>357</v>
      </c>
      <c r="B94" s="15" t="s">
        <v>358</v>
      </c>
      <c r="C94" s="3095" t="s">
        <v>359</v>
      </c>
      <c r="E94" s="3091" t="str">
        <f t="shared" si="2"/>
        <v>x</v>
      </c>
    </row>
    <row r="95" spans="1:5" ht="31.5" x14ac:dyDescent="0.25">
      <c r="A95" s="14" t="s">
        <v>360</v>
      </c>
      <c r="B95" s="15" t="s">
        <v>361</v>
      </c>
      <c r="C95" s="3095"/>
      <c r="E95" s="3091" t="str">
        <f t="shared" si="2"/>
        <v>x</v>
      </c>
    </row>
    <row r="96" spans="1:5" ht="31.5" x14ac:dyDescent="0.25">
      <c r="A96" s="14" t="s">
        <v>362</v>
      </c>
      <c r="B96" s="15" t="s">
        <v>363</v>
      </c>
      <c r="C96" s="3095"/>
      <c r="E96" s="3091" t="str">
        <f t="shared" si="2"/>
        <v>x</v>
      </c>
    </row>
    <row r="97" spans="1:5" ht="31.5" x14ac:dyDescent="0.25">
      <c r="A97" s="14" t="s">
        <v>364</v>
      </c>
      <c r="B97" s="15" t="s">
        <v>365</v>
      </c>
      <c r="C97" s="3095"/>
      <c r="E97" s="3091" t="str">
        <f t="shared" si="2"/>
        <v>x</v>
      </c>
    </row>
    <row r="98" spans="1:5" x14ac:dyDescent="0.25">
      <c r="A98" s="14" t="s">
        <v>366</v>
      </c>
      <c r="B98" s="15" t="s">
        <v>367</v>
      </c>
      <c r="C98" s="3095"/>
      <c r="E98" s="3091" t="str">
        <f t="shared" si="2"/>
        <v>x</v>
      </c>
    </row>
    <row r="99" spans="1:5" ht="31.5" x14ac:dyDescent="0.25">
      <c r="A99" s="14" t="s">
        <v>368</v>
      </c>
      <c r="B99" s="15" t="s">
        <v>369</v>
      </c>
      <c r="C99" s="3095"/>
      <c r="E99" s="3091" t="str">
        <f t="shared" si="2"/>
        <v>x</v>
      </c>
    </row>
    <row r="100" spans="1:5" ht="63" x14ac:dyDescent="0.25">
      <c r="A100" s="14" t="s">
        <v>370</v>
      </c>
      <c r="B100" s="15" t="s">
        <v>371</v>
      </c>
      <c r="C100" s="19" t="s">
        <v>393</v>
      </c>
      <c r="E100" s="24" t="str">
        <f t="shared" si="2"/>
        <v>x</v>
      </c>
    </row>
    <row r="101" spans="1:5" ht="31.5" x14ac:dyDescent="0.25">
      <c r="A101" s="14" t="s">
        <v>372</v>
      </c>
      <c r="B101" s="15" t="s">
        <v>373</v>
      </c>
      <c r="C101" s="15" t="s">
        <v>374</v>
      </c>
      <c r="E101" s="7" t="str">
        <f t="shared" si="2"/>
        <v>x</v>
      </c>
    </row>
    <row r="102" spans="1:5" x14ac:dyDescent="0.25">
      <c r="A102" s="20"/>
      <c r="B102" s="21"/>
      <c r="C102" s="21"/>
    </row>
    <row r="103" spans="1:5" x14ac:dyDescent="0.25">
      <c r="A103" s="20"/>
      <c r="B103" s="21"/>
      <c r="C103" s="21"/>
    </row>
  </sheetData>
  <autoFilter ref="A4:E101" xr:uid="{00000000-0009-0000-0000-000000000000}"/>
  <mergeCells count="33">
    <mergeCell ref="A3:C3"/>
    <mergeCell ref="C24:C33"/>
    <mergeCell ref="C36:C38"/>
    <mergeCell ref="A2:E2"/>
    <mergeCell ref="A1:E1"/>
    <mergeCell ref="E6:E8"/>
    <mergeCell ref="E11:E12"/>
    <mergeCell ref="E24:E33"/>
    <mergeCell ref="E36:E38"/>
    <mergeCell ref="C80:C82"/>
    <mergeCell ref="C85:C87"/>
    <mergeCell ref="C89:C90"/>
    <mergeCell ref="C91:C93"/>
    <mergeCell ref="C94:C99"/>
    <mergeCell ref="C54:C59"/>
    <mergeCell ref="C60:C62"/>
    <mergeCell ref="C65:C76"/>
    <mergeCell ref="C77:C78"/>
    <mergeCell ref="C6:C8"/>
    <mergeCell ref="C43:C46"/>
    <mergeCell ref="C48:C50"/>
    <mergeCell ref="C11:C12"/>
    <mergeCell ref="E43:E46"/>
    <mergeCell ref="E48:E50"/>
    <mergeCell ref="E54:E59"/>
    <mergeCell ref="E60:E62"/>
    <mergeCell ref="E65:E76"/>
    <mergeCell ref="E94:E99"/>
    <mergeCell ref="E77:E78"/>
    <mergeCell ref="E80:E82"/>
    <mergeCell ref="E85:E87"/>
    <mergeCell ref="E89:E90"/>
    <mergeCell ref="E91:E93"/>
  </mergeCells>
  <hyperlinks>
    <hyperlink ref="A6" location="'01'!A1" display="Mẫu biểu số 01:" xr:uid="{00000000-0004-0000-0000-000000000000}"/>
    <hyperlink ref="A7" location="'02'!A1" display="Mẫu biểu số 02:" xr:uid="{00000000-0004-0000-0000-000001000000}"/>
    <hyperlink ref="A8" location="'03'!A1" display="Mẫu biểu số 03:" xr:uid="{00000000-0004-0000-0000-000002000000}"/>
    <hyperlink ref="A9" location="'04'!A1" display="Mẫu biểu số 04:" xr:uid="{00000000-0004-0000-0000-000003000000}"/>
    <hyperlink ref="A11" location="'05'!A1" display="Mẫu biểu số 05:" xr:uid="{00000000-0004-0000-0000-000004000000}"/>
    <hyperlink ref="A12" location="'06'!A1" display="Mẫu biểu số 06:" xr:uid="{00000000-0004-0000-0000-000005000000}"/>
    <hyperlink ref="A13" location="'07'!A1" display="Mẫu biểu số 07:" xr:uid="{00000000-0004-0000-0000-000006000000}"/>
    <hyperlink ref="A14" location="'08'!A1" display="Mẫu biểu số 08:" xr:uid="{00000000-0004-0000-0000-000007000000}"/>
    <hyperlink ref="A15" location="'09'!A1" display="Mẫu biểu số 09:" xr:uid="{00000000-0004-0000-0000-000008000000}"/>
    <hyperlink ref="A17" location="'11.1'!A1" display="Mẫu biểu số 11.1:" xr:uid="{00000000-0004-0000-0000-000009000000}"/>
    <hyperlink ref="A18" location="'11.2'!A1" display="Mẫu biểu số 11.2:" xr:uid="{00000000-0004-0000-0000-00000A000000}"/>
    <hyperlink ref="A19" location="'12.1'!A1" display="Mẫu biểu số 12.1:" xr:uid="{00000000-0004-0000-0000-00000B000000}"/>
    <hyperlink ref="A20" location="'12.2'!A1" display="Mẫu biểu số 12.2" xr:uid="{00000000-0004-0000-0000-00000C000000}"/>
    <hyperlink ref="A21" location="'12.3'!A1" display="Mẫu biểu số 12.3:" xr:uid="{00000000-0004-0000-0000-00000D000000}"/>
    <hyperlink ref="A22" location="'12.4'!A1" display="Mẫu biểu số 12.4:" xr:uid="{00000000-0004-0000-0000-00000E000000}"/>
    <hyperlink ref="A23" location="'12.5'!A1" display="Mẫu biểu số 12.5:" xr:uid="{00000000-0004-0000-0000-00000F000000}"/>
    <hyperlink ref="A24" location="'13.1'!A1" display="Mẫu biểu số 13.1:" xr:uid="{00000000-0004-0000-0000-000010000000}"/>
    <hyperlink ref="A25" location="'13.2'!A1" display="Mẫu biểu số 13.2:" xr:uid="{00000000-0004-0000-0000-000011000000}"/>
    <hyperlink ref="A26" location="'13.3'!A1" display="Mẫu biểu số 13.3:" xr:uid="{00000000-0004-0000-0000-000012000000}"/>
    <hyperlink ref="A27" location="'13.4'!A1" display="Mẫu biểu số 13.4:" xr:uid="{00000000-0004-0000-0000-000013000000}"/>
    <hyperlink ref="A28" location="'13.5'!A1" display="Mẫu biểu số 13.5:" xr:uid="{00000000-0004-0000-0000-000014000000}"/>
    <hyperlink ref="A29" location="'13.6'!A1" display="Mẫu biểu số 13.6:" xr:uid="{00000000-0004-0000-0000-000015000000}"/>
    <hyperlink ref="A30" location="'13.7'!A1" display="Mẫu biểu số 13.7:" xr:uid="{00000000-0004-0000-0000-000016000000}"/>
    <hyperlink ref="A31" location="'13.8'!A1" display="Mẫu biểu số 13.8:" xr:uid="{00000000-0004-0000-0000-000017000000}"/>
    <hyperlink ref="A32" location="'13.9'!A1" display="Mẫu biểu số 13.9:" xr:uid="{00000000-0004-0000-0000-000018000000}"/>
    <hyperlink ref="A33" location="'13.10'!A1" display="Mẫu biểu số 13.10:" xr:uid="{00000000-0004-0000-0000-000019000000}"/>
    <hyperlink ref="A34" location="'13.11'!A1" display="Mẫu biểu số 13.11:" xr:uid="{00000000-0004-0000-0000-00001A000000}"/>
    <hyperlink ref="A35" location="'13.12'!A1" display="Mẫu biểu số 13.12:" xr:uid="{00000000-0004-0000-0000-00001B000000}"/>
    <hyperlink ref="A36" location="'14'!A1" display="Mẫu biểu số 14:" xr:uid="{00000000-0004-0000-0000-00001C000000}"/>
    <hyperlink ref="A37" location="'15.1'!A1" display="Mẫu biểu số 15.1:" xr:uid="{00000000-0004-0000-0000-00001D000000}"/>
    <hyperlink ref="A38" location="'15.2'!A1" display="Mẫu biểu số 15.2:" xr:uid="{00000000-0004-0000-0000-00001E000000}"/>
    <hyperlink ref="A41" location="'18'!A1" display="Mẫu biểu số 18:" xr:uid="{00000000-0004-0000-0000-00001F000000}"/>
    <hyperlink ref="A48" location="'23'!A1" display="Mẫu biểu số 23:" xr:uid="{00000000-0004-0000-0000-000020000000}"/>
    <hyperlink ref="A49" location="'24'!A1" display="Mẫu biểu số 24:" xr:uid="{00000000-0004-0000-0000-000021000000}"/>
    <hyperlink ref="A50" location="'25'!A1" display="Mẫu biểu số 25:" xr:uid="{00000000-0004-0000-0000-000022000000}"/>
    <hyperlink ref="A51" location="'26'!A1" display="Mẫu biểu số 26:" xr:uid="{00000000-0004-0000-0000-000023000000}"/>
    <hyperlink ref="A52" location="'27'!A1" display="Mẫu biểu số 27:" xr:uid="{00000000-0004-0000-0000-000024000000}"/>
    <hyperlink ref="A54" location="'28'!A1" display="Mẫu biểu số 28:" xr:uid="{00000000-0004-0000-0000-000025000000}"/>
    <hyperlink ref="A55" location="'29.1'!A1" display="Mẫu biểu số 29.1:" xr:uid="{00000000-0004-0000-0000-000026000000}"/>
    <hyperlink ref="A56" location="'29.2'!A1" display="Mẫu biểu số 29.2:" xr:uid="{00000000-0004-0000-0000-000027000000}"/>
    <hyperlink ref="A57" location="'30'!A1" display="Mẫu biểu số 30:" xr:uid="{00000000-0004-0000-0000-000028000000}"/>
    <hyperlink ref="A58" location="'31'!A1" display="Mẫu biểu số 31:" xr:uid="{00000000-0004-0000-0000-000029000000}"/>
    <hyperlink ref="A59" location="'32'!A1" display="Mẫu biểu số 32:" xr:uid="{00000000-0004-0000-0000-00002A000000}"/>
    <hyperlink ref="A60" location="'33'!A1" display="Mẫu biểu số 33:" xr:uid="{00000000-0004-0000-0000-00002B000000}"/>
    <hyperlink ref="A61" location="'34'!A1" display="Mẫu biểu số 34:" xr:uid="{00000000-0004-0000-0000-00002C000000}"/>
    <hyperlink ref="A62" location="'35'!A1" display="Mẫu biểu số 35:" xr:uid="{00000000-0004-0000-0000-00002D000000}"/>
    <hyperlink ref="A77" location="'48'!A1" display="Mẫu biểu số 48:" xr:uid="{00000000-0004-0000-0000-00002E000000}"/>
    <hyperlink ref="A78" location="'49'!A1" display="Mẫu biểu số 49:" xr:uid="{00000000-0004-0000-0000-00002F000000}"/>
    <hyperlink ref="A83" location="'53'!A1" display="Mẫu biểu số 53:" xr:uid="{00000000-0004-0000-0000-000030000000}"/>
    <hyperlink ref="A85" location="'55'!A1" display="Mẫu biểu số 55:" xr:uid="{00000000-0004-0000-0000-000031000000}"/>
    <hyperlink ref="A86" location="'56'!A1" display="Mẫu biểu số 56:" xr:uid="{00000000-0004-0000-0000-000032000000}"/>
    <hyperlink ref="A87" location="'57'!A1" display="Mẫu biểu số 57:" xr:uid="{00000000-0004-0000-0000-000033000000}"/>
    <hyperlink ref="A91" location="'60'!A1" display="Mẫu biểu số 60:" xr:uid="{00000000-0004-0000-0000-000034000000}"/>
    <hyperlink ref="A92" location="'61'!A1" display="Mẫu biểu số 61:" xr:uid="{00000000-0004-0000-0000-000035000000}"/>
    <hyperlink ref="A93" location="'62'!A1" display="Mẫu biểu số 62:" xr:uid="{00000000-0004-0000-0000-000036000000}"/>
    <hyperlink ref="A94" location="'63'!A1" display="Mẫu biểu số 63:" xr:uid="{00000000-0004-0000-0000-000037000000}"/>
    <hyperlink ref="A95" location="'64'!A1" display="Mẫu biểu số 64:" xr:uid="{00000000-0004-0000-0000-000038000000}"/>
    <hyperlink ref="A96" location="'65'!A1" display="Mẫu biểu số 65:" xr:uid="{00000000-0004-0000-0000-000039000000}"/>
    <hyperlink ref="A97" location="'66'!A1" display="Mẫu biểu số 66:" xr:uid="{00000000-0004-0000-0000-00003A000000}"/>
    <hyperlink ref="A98" location="'67'!A1" display="Mẫu biểu số 67:" xr:uid="{00000000-0004-0000-0000-00003B000000}"/>
    <hyperlink ref="A99" location="'68'!A1" display="Mẫu biểu số 68:" xr:uid="{00000000-0004-0000-0000-00003C000000}"/>
    <hyperlink ref="A100" location="'69'!A1" display="Mẫu biểu số 69:" xr:uid="{00000000-0004-0000-0000-00003D000000}"/>
    <hyperlink ref="A101" location="'70'!A1" display="Mẫu biểu số 70:" xr:uid="{00000000-0004-0000-0000-00003E000000}"/>
    <hyperlink ref="A16" location="'10'!A1" display="Mẫu biểu số 10:" xr:uid="{00000000-0004-0000-0000-00003F000000}"/>
  </hyperlinks>
  <pageMargins left="0.55118110236220474" right="0.25" top="0.51181102362204722" bottom="0.27559055118110237" header="0.31496062992125984" footer="0.23622047244094491"/>
  <pageSetup paperSize="9" scale="6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AG54"/>
  <sheetViews>
    <sheetView view="pageBreakPreview" zoomScaleNormal="100" zoomScaleSheetLayoutView="100" workbookViewId="0">
      <selection activeCell="Q35" sqref="Q35"/>
    </sheetView>
  </sheetViews>
  <sheetFormatPr defaultColWidth="9.140625" defaultRowHeight="15" x14ac:dyDescent="0.25"/>
  <cols>
    <col min="1" max="1" width="6.28515625" style="36" customWidth="1"/>
    <col min="2" max="2" width="50.140625" style="36" customWidth="1"/>
    <col min="3" max="3" width="14.7109375" style="1359" customWidth="1"/>
    <col min="4" max="4" width="15.140625" style="1359" customWidth="1"/>
    <col min="5" max="5" width="14.7109375" style="1359" customWidth="1"/>
    <col min="6" max="6" width="10" style="286" customWidth="1"/>
    <col min="7" max="7" width="15.140625" style="147" hidden="1" customWidth="1"/>
    <col min="8" max="8" width="18.5703125" style="36" hidden="1" customWidth="1"/>
    <col min="9" max="9" width="20.28515625" style="36" hidden="1" customWidth="1"/>
    <col min="10" max="10" width="17.85546875" style="1359" hidden="1" customWidth="1"/>
    <col min="11" max="11" width="12.42578125" style="1359" hidden="1" customWidth="1"/>
    <col min="12" max="12" width="14.140625" style="1359" hidden="1" customWidth="1"/>
    <col min="13" max="13" width="9.140625" style="36" hidden="1" customWidth="1"/>
    <col min="14" max="14" width="19.28515625" style="36" hidden="1" customWidth="1"/>
    <col min="15" max="15" width="18" style="36" hidden="1" customWidth="1"/>
    <col min="16" max="17" width="9.140625" style="36" customWidth="1"/>
    <col min="18" max="18" width="12.7109375" style="36" hidden="1" customWidth="1"/>
    <col min="19" max="19" width="13.5703125" style="36" hidden="1" customWidth="1"/>
    <col min="20" max="20" width="15.28515625" style="36" hidden="1" customWidth="1"/>
    <col min="21" max="24" width="9.140625" style="36" hidden="1" customWidth="1"/>
    <col min="25" max="25" width="12.7109375" style="36" hidden="1" customWidth="1"/>
    <col min="26" max="26" width="12.85546875" style="162" hidden="1" customWidth="1"/>
    <col min="27" max="27" width="14.140625" style="36" hidden="1" customWidth="1"/>
    <col min="28" max="28" width="16.42578125" style="36" hidden="1" customWidth="1"/>
    <col min="29" max="29" width="13" style="36" hidden="1" customWidth="1"/>
    <col min="30" max="31" width="9.140625" style="36" hidden="1" customWidth="1"/>
    <col min="32" max="32" width="0" style="36" hidden="1" customWidth="1"/>
    <col min="33" max="33" width="14.85546875" style="36" hidden="1" customWidth="1"/>
    <col min="34" max="37" width="0" style="36" hidden="1" customWidth="1"/>
    <col min="38" max="16384" width="9.140625" style="36"/>
  </cols>
  <sheetData>
    <row r="1" spans="1:26" ht="21" customHeight="1" x14ac:dyDescent="0.25">
      <c r="A1" s="244" t="str">
        <f>'48_NĐ31'!A1</f>
        <v xml:space="preserve">UBND PHƯỜNG BẮC KẠN </v>
      </c>
      <c r="E1" s="3141" t="s">
        <v>964</v>
      </c>
      <c r="F1" s="3141"/>
    </row>
    <row r="2" spans="1:26" ht="17.25" hidden="1" customHeight="1" x14ac:dyDescent="0.25">
      <c r="A2" s="3141" t="s">
        <v>1525</v>
      </c>
      <c r="B2" s="3141"/>
      <c r="C2" s="3141"/>
      <c r="D2" s="3141"/>
      <c r="E2" s="3141"/>
      <c r="F2" s="3141"/>
    </row>
    <row r="3" spans="1:26" ht="21" customHeight="1" x14ac:dyDescent="0.25">
      <c r="A3" s="3132" t="s">
        <v>1510</v>
      </c>
      <c r="B3" s="3132"/>
      <c r="C3" s="3132"/>
      <c r="D3" s="3132"/>
      <c r="E3" s="3132"/>
      <c r="F3" s="3132"/>
    </row>
    <row r="4" spans="1:26" s="184" customFormat="1" ht="19.899999999999999" customHeight="1" x14ac:dyDescent="0.25">
      <c r="A4" s="3140" t="str">
        <f>'48_NĐ31'!A4:G4</f>
        <v>(Kèm theo Quyết định số          /QĐ-UBND ngày          /4/2026 của UBND phường Bắc Kạn)</v>
      </c>
      <c r="B4" s="3140"/>
      <c r="C4" s="3140"/>
      <c r="D4" s="3140"/>
      <c r="E4" s="3140"/>
      <c r="F4" s="3140"/>
      <c r="G4" s="185"/>
      <c r="J4" s="1825"/>
      <c r="K4" s="1825"/>
      <c r="L4" s="1825"/>
      <c r="Z4" s="1337"/>
    </row>
    <row r="5" spans="1:26" ht="18" customHeight="1" x14ac:dyDescent="0.25">
      <c r="D5" s="3146" t="s">
        <v>1187</v>
      </c>
      <c r="E5" s="3146"/>
      <c r="F5" s="3146"/>
    </row>
    <row r="6" spans="1:26" ht="25.5" customHeight="1" x14ac:dyDescent="0.25">
      <c r="A6" s="3144" t="s">
        <v>0</v>
      </c>
      <c r="B6" s="3144" t="s">
        <v>1</v>
      </c>
      <c r="C6" s="3145" t="s">
        <v>590</v>
      </c>
      <c r="D6" s="3145" t="s">
        <v>400</v>
      </c>
      <c r="E6" s="3144" t="s">
        <v>401</v>
      </c>
      <c r="F6" s="3144"/>
    </row>
    <row r="7" spans="1:26" ht="25.5" customHeight="1" x14ac:dyDescent="0.25">
      <c r="A7" s="3144"/>
      <c r="B7" s="3144"/>
      <c r="C7" s="3145"/>
      <c r="D7" s="3145"/>
      <c r="E7" s="2177" t="s">
        <v>402</v>
      </c>
      <c r="F7" s="169" t="s">
        <v>403</v>
      </c>
    </row>
    <row r="8" spans="1:26" ht="20.25" customHeight="1" x14ac:dyDescent="0.25">
      <c r="A8" s="169" t="s">
        <v>3</v>
      </c>
      <c r="B8" s="169" t="s">
        <v>4</v>
      </c>
      <c r="C8" s="2323">
        <v>1</v>
      </c>
      <c r="D8" s="2323">
        <v>2</v>
      </c>
      <c r="E8" s="2177" t="s">
        <v>176</v>
      </c>
      <c r="F8" s="169" t="s">
        <v>404</v>
      </c>
      <c r="H8" s="224"/>
    </row>
    <row r="9" spans="1:26" s="1659" customFormat="1" ht="18.75" customHeight="1" x14ac:dyDescent="0.2">
      <c r="A9" s="1652"/>
      <c r="B9" s="1653" t="s">
        <v>77</v>
      </c>
      <c r="C9" s="2101">
        <f>SUM(C10,C11,C51)</f>
        <v>374473982.20899999</v>
      </c>
      <c r="D9" s="2101">
        <f>SUM(D10,D11,D51)</f>
        <v>374832535.13300002</v>
      </c>
      <c r="E9" s="2101">
        <f>D9-C9</f>
        <v>358552.9240000248</v>
      </c>
      <c r="F9" s="2833">
        <f>D9/C9%</f>
        <v>100.09574842072738</v>
      </c>
      <c r="G9" s="1656"/>
      <c r="H9" s="1657"/>
      <c r="I9" s="1658"/>
      <c r="J9" s="1808"/>
      <c r="K9" s="1808"/>
      <c r="L9" s="1808"/>
      <c r="R9" s="1659">
        <v>375158717.79400003</v>
      </c>
      <c r="Z9" s="1758"/>
    </row>
    <row r="10" spans="1:26" s="1659" customFormat="1" ht="31.5" customHeight="1" x14ac:dyDescent="0.2">
      <c r="A10" s="1652" t="s">
        <v>3</v>
      </c>
      <c r="B10" s="1660" t="s">
        <v>508</v>
      </c>
      <c r="C10" s="2101"/>
      <c r="D10" s="1690">
        <f>'62_TT342'!E78</f>
        <v>0</v>
      </c>
      <c r="E10" s="1690">
        <f t="shared" ref="E10:E51" si="0">D10-C10</f>
        <v>0</v>
      </c>
      <c r="F10" s="1655"/>
      <c r="G10" s="1661"/>
      <c r="H10" s="1662"/>
      <c r="I10" s="1663"/>
      <c r="J10" s="1808"/>
      <c r="K10" s="1808"/>
      <c r="L10" s="1808"/>
      <c r="R10" s="1658">
        <f>D9-R9</f>
        <v>-326182.66100001335</v>
      </c>
      <c r="Z10" s="1758"/>
    </row>
    <row r="11" spans="1:26" s="1659" customFormat="1" ht="15.95" customHeight="1" x14ac:dyDescent="0.2">
      <c r="A11" s="1652" t="s">
        <v>4</v>
      </c>
      <c r="B11" s="1660" t="s">
        <v>1536</v>
      </c>
      <c r="C11" s="2101">
        <f>SUM(C12,C29,C44,C50,C45)</f>
        <v>374473982.20899999</v>
      </c>
      <c r="D11" s="2101">
        <f>SUM(D12,D29,D43,D44,D50,D45)</f>
        <v>338173293.426</v>
      </c>
      <c r="E11" s="2101">
        <f t="shared" si="0"/>
        <v>-36300688.782999992</v>
      </c>
      <c r="F11" s="2833">
        <f>D11/C11%</f>
        <v>90.306218720760157</v>
      </c>
      <c r="G11" s="1656"/>
      <c r="J11" s="1808"/>
      <c r="K11" s="1808"/>
      <c r="L11" s="1808"/>
      <c r="Z11" s="1758"/>
    </row>
    <row r="12" spans="1:26" s="1659" customFormat="1" ht="15.95" customHeight="1" x14ac:dyDescent="0.2">
      <c r="A12" s="1652" t="s">
        <v>5</v>
      </c>
      <c r="B12" s="1660" t="s">
        <v>24</v>
      </c>
      <c r="C12" s="2101">
        <v>23560000</v>
      </c>
      <c r="D12" s="2101">
        <f>D13+D28</f>
        <v>22898469.927000001</v>
      </c>
      <c r="E12" s="2101">
        <f t="shared" si="0"/>
        <v>-661530.07299999893</v>
      </c>
      <c r="F12" s="2833">
        <f>D12/C12%</f>
        <v>97.192147398132434</v>
      </c>
      <c r="G12" s="1656"/>
      <c r="J12" s="1808"/>
      <c r="K12" s="1808"/>
      <c r="L12" s="1808"/>
      <c r="Z12" s="1758"/>
    </row>
    <row r="13" spans="1:26" s="1668" customFormat="1" ht="20.25" customHeight="1" x14ac:dyDescent="0.2">
      <c r="A13" s="1664">
        <v>1</v>
      </c>
      <c r="B13" s="1665" t="s">
        <v>79</v>
      </c>
      <c r="C13" s="2252"/>
      <c r="D13" s="2252">
        <f>D14+D23</f>
        <v>22898469.927000001</v>
      </c>
      <c r="E13" s="2252">
        <f t="shared" si="0"/>
        <v>22898469.927000001</v>
      </c>
      <c r="F13" s="2885"/>
      <c r="G13" s="1666"/>
      <c r="H13" s="1667"/>
      <c r="J13" s="1767"/>
      <c r="K13" s="1767"/>
      <c r="L13" s="1767"/>
      <c r="Z13" s="1759"/>
    </row>
    <row r="14" spans="1:26" s="1668" customFormat="1" ht="20.25" customHeight="1" x14ac:dyDescent="0.2">
      <c r="A14" s="1669" t="s">
        <v>23</v>
      </c>
      <c r="B14" s="1670" t="s">
        <v>33</v>
      </c>
      <c r="C14" s="2085"/>
      <c r="D14" s="2085">
        <f>'51_NĐ31'!D13</f>
        <v>5933938.3969999999</v>
      </c>
      <c r="E14" s="2085"/>
      <c r="F14" s="2836"/>
      <c r="G14" s="1666"/>
      <c r="J14" s="1767"/>
      <c r="K14" s="1767"/>
      <c r="L14" s="1767"/>
      <c r="Z14" s="1759"/>
    </row>
    <row r="15" spans="1:26" s="1668" customFormat="1" ht="20.25" hidden="1" customHeight="1" x14ac:dyDescent="0.2">
      <c r="A15" s="1669" t="s">
        <v>23</v>
      </c>
      <c r="B15" s="1670" t="s">
        <v>70</v>
      </c>
      <c r="C15" s="2085"/>
      <c r="D15" s="2085"/>
      <c r="E15" s="2085"/>
      <c r="F15" s="2836"/>
      <c r="G15" s="1666"/>
      <c r="J15" s="1767"/>
      <c r="K15" s="1767"/>
      <c r="L15" s="1767"/>
      <c r="Z15" s="1759"/>
    </row>
    <row r="16" spans="1:26" s="1668" customFormat="1" ht="20.25" hidden="1" customHeight="1" x14ac:dyDescent="0.2">
      <c r="A16" s="1669" t="s">
        <v>23</v>
      </c>
      <c r="B16" s="1670" t="s">
        <v>71</v>
      </c>
      <c r="C16" s="2085">
        <f>'62_TT342'!D45</f>
        <v>0</v>
      </c>
      <c r="D16" s="2085">
        <f>'62_TT342'!F45</f>
        <v>0</v>
      </c>
      <c r="E16" s="2085">
        <f t="shared" si="0"/>
        <v>0</v>
      </c>
      <c r="F16" s="2836"/>
      <c r="G16" s="1666"/>
      <c r="J16" s="1767"/>
      <c r="K16" s="1767"/>
      <c r="L16" s="1767"/>
      <c r="Z16" s="1759"/>
    </row>
    <row r="17" spans="1:33" s="1668" customFormat="1" ht="20.25" hidden="1" customHeight="1" x14ac:dyDescent="0.2">
      <c r="A17" s="1669" t="s">
        <v>23</v>
      </c>
      <c r="B17" s="1670" t="s">
        <v>80</v>
      </c>
      <c r="C17" s="2085">
        <f>'62_TT342'!D46</f>
        <v>0</v>
      </c>
      <c r="D17" s="2085">
        <f>'62_TT342'!F46</f>
        <v>0</v>
      </c>
      <c r="E17" s="2085">
        <f>D17-C17</f>
        <v>0</v>
      </c>
      <c r="F17" s="2836"/>
      <c r="G17" s="1666"/>
      <c r="J17" s="1767"/>
      <c r="K17" s="1767"/>
      <c r="L17" s="1767"/>
      <c r="Z17" s="1759"/>
    </row>
    <row r="18" spans="1:33" s="1668" customFormat="1" ht="20.25" hidden="1" customHeight="1" x14ac:dyDescent="0.2">
      <c r="A18" s="1669" t="s">
        <v>23</v>
      </c>
      <c r="B18" s="1670" t="s">
        <v>72</v>
      </c>
      <c r="C18" s="2085">
        <f>'62_TT342'!D49</f>
        <v>0</v>
      </c>
      <c r="D18" s="2085">
        <f>'62_TT342'!F49</f>
        <v>0</v>
      </c>
      <c r="E18" s="2085">
        <f t="shared" si="0"/>
        <v>0</v>
      </c>
      <c r="F18" s="2836"/>
      <c r="G18" s="1666"/>
      <c r="J18" s="1767"/>
      <c r="K18" s="1767"/>
      <c r="L18" s="1767"/>
      <c r="Z18" s="1759"/>
    </row>
    <row r="19" spans="1:33" s="1668" customFormat="1" ht="20.25" hidden="1" customHeight="1" x14ac:dyDescent="0.2">
      <c r="A19" s="1669" t="s">
        <v>23</v>
      </c>
      <c r="B19" s="1670" t="s">
        <v>73</v>
      </c>
      <c r="C19" s="2085">
        <f>'62_TT342'!D50</f>
        <v>0</v>
      </c>
      <c r="D19" s="2085">
        <f>'62_TT342'!F50</f>
        <v>0</v>
      </c>
      <c r="E19" s="2085">
        <f>D19-C19</f>
        <v>0</v>
      </c>
      <c r="F19" s="2836"/>
      <c r="G19" s="1666"/>
      <c r="J19" s="1767"/>
      <c r="K19" s="1767"/>
      <c r="L19" s="1767"/>
      <c r="Z19" s="1759"/>
    </row>
    <row r="20" spans="1:33" s="1668" customFormat="1" ht="20.25" hidden="1" customHeight="1" x14ac:dyDescent="0.2">
      <c r="A20" s="1669" t="s">
        <v>23</v>
      </c>
      <c r="B20" s="1670" t="s">
        <v>435</v>
      </c>
      <c r="C20" s="2085"/>
      <c r="D20" s="2085"/>
      <c r="E20" s="2085"/>
      <c r="F20" s="2836"/>
      <c r="G20" s="1666"/>
      <c r="J20" s="1767"/>
      <c r="K20" s="1767"/>
      <c r="L20" s="1767"/>
      <c r="Z20" s="1759"/>
    </row>
    <row r="21" spans="1:33" s="1668" customFormat="1" ht="20.25" hidden="1" customHeight="1" x14ac:dyDescent="0.2">
      <c r="A21" s="1669" t="s">
        <v>23</v>
      </c>
      <c r="B21" s="1670" t="s">
        <v>81</v>
      </c>
      <c r="C21" s="2085">
        <f>'62_TT342'!D52</f>
        <v>0</v>
      </c>
      <c r="D21" s="2085">
        <f>'62_TT342'!F52</f>
        <v>0</v>
      </c>
      <c r="E21" s="2085"/>
      <c r="F21" s="2836"/>
      <c r="G21" s="1666"/>
      <c r="J21" s="1767"/>
      <c r="K21" s="1767"/>
      <c r="L21" s="1767"/>
      <c r="Z21" s="1759"/>
    </row>
    <row r="22" spans="1:33" s="1668" customFormat="1" ht="20.25" hidden="1" customHeight="1" x14ac:dyDescent="0.2">
      <c r="A22" s="1669" t="s">
        <v>23</v>
      </c>
      <c r="B22" s="1670" t="s">
        <v>74</v>
      </c>
      <c r="C22" s="2085">
        <f>'62_TT342'!D53</f>
        <v>0</v>
      </c>
      <c r="D22" s="2085">
        <f>'62_TT342'!F53</f>
        <v>0</v>
      </c>
      <c r="E22" s="2085">
        <f>D22-C22</f>
        <v>0</v>
      </c>
      <c r="F22" s="2836"/>
      <c r="G22" s="1666"/>
      <c r="J22" s="1767"/>
      <c r="K22" s="1767"/>
      <c r="L22" s="1767"/>
      <c r="Z22" s="1759"/>
    </row>
    <row r="23" spans="1:33" s="1668" customFormat="1" ht="20.25" customHeight="1" x14ac:dyDescent="0.2">
      <c r="A23" s="1669" t="s">
        <v>23</v>
      </c>
      <c r="B23" s="1670" t="s">
        <v>82</v>
      </c>
      <c r="C23" s="2085"/>
      <c r="D23" s="2253">
        <f>'51_NĐ31'!D16</f>
        <v>16964531.530000001</v>
      </c>
      <c r="E23" s="2085"/>
      <c r="F23" s="2836"/>
      <c r="G23" s="1666"/>
      <c r="J23" s="1767"/>
      <c r="K23" s="1767"/>
      <c r="L23" s="1767"/>
      <c r="Z23" s="1759"/>
    </row>
    <row r="24" spans="1:33" s="1668" customFormat="1" ht="20.25" hidden="1" customHeight="1" x14ac:dyDescent="0.2">
      <c r="A24" s="1669" t="s">
        <v>23</v>
      </c>
      <c r="B24" s="1670" t="s">
        <v>436</v>
      </c>
      <c r="C24" s="2085">
        <f>'62_TT342'!D55</f>
        <v>0</v>
      </c>
      <c r="D24" s="2253">
        <f>'62_TT342'!E55</f>
        <v>0</v>
      </c>
      <c r="E24" s="2085">
        <f t="shared" si="0"/>
        <v>0</v>
      </c>
      <c r="F24" s="2836"/>
      <c r="G24" s="1666"/>
      <c r="J24" s="1767"/>
      <c r="K24" s="1767"/>
      <c r="L24" s="1767"/>
      <c r="Z24" s="1759"/>
    </row>
    <row r="25" spans="1:33" s="1668" customFormat="1" ht="20.25" hidden="1" customHeight="1" x14ac:dyDescent="0.2">
      <c r="A25" s="1669" t="s">
        <v>23</v>
      </c>
      <c r="B25" s="1670" t="s">
        <v>26</v>
      </c>
      <c r="C25" s="2085">
        <f>'62_TT342'!D56</f>
        <v>0</v>
      </c>
      <c r="D25" s="2085">
        <f>'62_TT342'!F56</f>
        <v>0</v>
      </c>
      <c r="E25" s="2085">
        <f>D25-C25</f>
        <v>0</v>
      </c>
      <c r="F25" s="2836"/>
      <c r="G25" s="1666"/>
      <c r="J25" s="1767"/>
      <c r="K25" s="1767"/>
      <c r="L25" s="1767"/>
      <c r="Z25" s="1759"/>
    </row>
    <row r="26" spans="1:33" s="1668" customFormat="1" ht="20.25" hidden="1" customHeight="1" x14ac:dyDescent="0.2">
      <c r="A26" s="1669" t="s">
        <v>23</v>
      </c>
      <c r="B26" s="1670" t="s">
        <v>437</v>
      </c>
      <c r="C26" s="2085"/>
      <c r="D26" s="2085"/>
      <c r="E26" s="2085"/>
      <c r="F26" s="2836"/>
      <c r="G26" s="1666"/>
      <c r="J26" s="1767"/>
      <c r="K26" s="1767"/>
      <c r="L26" s="1767"/>
      <c r="Z26" s="1759"/>
    </row>
    <row r="27" spans="1:33" s="1668" customFormat="1" ht="62.25" customHeight="1" x14ac:dyDescent="0.2">
      <c r="A27" s="1669">
        <v>2</v>
      </c>
      <c r="B27" s="1670" t="s">
        <v>69</v>
      </c>
      <c r="C27" s="2085"/>
      <c r="D27" s="2085"/>
      <c r="E27" s="2085"/>
      <c r="F27" s="2836"/>
      <c r="G27" s="1666"/>
      <c r="J27" s="1767"/>
      <c r="K27" s="1767"/>
      <c r="L27" s="1767"/>
      <c r="Z27" s="1759"/>
    </row>
    <row r="28" spans="1:33" s="1668" customFormat="1" ht="22.5" customHeight="1" x14ac:dyDescent="0.2">
      <c r="A28" s="1672">
        <v>3</v>
      </c>
      <c r="B28" s="1673" t="s">
        <v>25</v>
      </c>
      <c r="C28" s="2254"/>
      <c r="D28" s="1674">
        <f>'51_NĐ31'!D18</f>
        <v>0</v>
      </c>
      <c r="E28" s="2254"/>
      <c r="F28" s="2886"/>
      <c r="G28" s="1666"/>
      <c r="J28" s="1767"/>
      <c r="K28" s="1767"/>
      <c r="L28" s="1767"/>
      <c r="Z28" s="1759"/>
    </row>
    <row r="29" spans="1:33" s="1659" customFormat="1" ht="22.5" customHeight="1" x14ac:dyDescent="0.2">
      <c r="A29" s="1652" t="s">
        <v>11</v>
      </c>
      <c r="B29" s="1660" t="s">
        <v>28</v>
      </c>
      <c r="C29" s="2255">
        <f>SUM(C30:C42)</f>
        <v>227368995.99599999</v>
      </c>
      <c r="D29" s="2101">
        <f>SUM(D30:D42)</f>
        <v>303053141.92500001</v>
      </c>
      <c r="E29" s="2101">
        <f t="shared" si="0"/>
        <v>75684145.92900002</v>
      </c>
      <c r="F29" s="2833">
        <f>D29/C29%</f>
        <v>133.28692445399702</v>
      </c>
      <c r="G29" s="1656"/>
      <c r="H29" s="2011">
        <f>D29+D49</f>
        <v>304227425.64500004</v>
      </c>
      <c r="I29" s="1675"/>
      <c r="J29" s="1808"/>
      <c r="K29" s="1808">
        <f>J29-I29</f>
        <v>0</v>
      </c>
      <c r="L29" s="1808"/>
      <c r="N29" s="1808">
        <f>D29+D49</f>
        <v>304227425.64500004</v>
      </c>
      <c r="O29" s="1808">
        <f>C29+C45-C48</f>
        <v>342966296.93799996</v>
      </c>
      <c r="R29" s="1699">
        <f>C29+C46</f>
        <v>338326097.79299998</v>
      </c>
      <c r="S29" s="1676" t="e">
        <f>'5.6'!G14</f>
        <v>#REF!</v>
      </c>
      <c r="Y29" s="1658">
        <f>D29+D49</f>
        <v>304227425.64500004</v>
      </c>
      <c r="Z29" s="1758">
        <v>304236425.64499998</v>
      </c>
      <c r="AA29" s="1658">
        <f>Y29-Z29</f>
        <v>-8999.9999999403954</v>
      </c>
      <c r="AB29" s="1658">
        <f>AA29-AA33</f>
        <v>-1470068.6939999403</v>
      </c>
      <c r="AG29" s="1808">
        <f>D29+D49</f>
        <v>304227425.64500004</v>
      </c>
    </row>
    <row r="30" spans="1:33" s="1668" customFormat="1" ht="20.25" customHeight="1" x14ac:dyDescent="0.2">
      <c r="A30" s="1691">
        <v>1</v>
      </c>
      <c r="B30" s="1692" t="s">
        <v>71</v>
      </c>
      <c r="C30" s="2256">
        <v>4389834.87</v>
      </c>
      <c r="D30" s="2257">
        <f>'62_TT342'!E61</f>
        <v>4970667.13</v>
      </c>
      <c r="E30" s="2256">
        <f t="shared" si="0"/>
        <v>580832.25999999978</v>
      </c>
      <c r="F30" s="2889">
        <f>D30/C30%</f>
        <v>113.23130088490093</v>
      </c>
      <c r="G30" s="1666"/>
      <c r="H30" s="1677"/>
      <c r="I30" s="1678"/>
      <c r="J30" s="1767"/>
      <c r="K30" s="1767"/>
      <c r="L30" s="1767"/>
      <c r="O30" s="1668">
        <f>D29/O29%</f>
        <v>88.362368148315369</v>
      </c>
      <c r="R30" s="1667">
        <f>C29-'48_NĐ31'!D23</f>
        <v>2279121.4039999843</v>
      </c>
      <c r="S30" s="1667" t="e">
        <f>S29-D29</f>
        <v>#REF!</v>
      </c>
      <c r="T30" s="1668">
        <v>35176</v>
      </c>
      <c r="Z30" s="1759"/>
    </row>
    <row r="31" spans="1:33" s="1668" customFormat="1" ht="20.25" customHeight="1" x14ac:dyDescent="0.2">
      <c r="A31" s="1669">
        <v>2</v>
      </c>
      <c r="B31" s="1670" t="s">
        <v>80</v>
      </c>
      <c r="C31" s="2084">
        <v>1972059.6</v>
      </c>
      <c r="D31" s="2258">
        <f>'62_TT342'!E62</f>
        <v>1370667.41</v>
      </c>
      <c r="E31" s="2084">
        <f t="shared" si="0"/>
        <v>-601392.19000000018</v>
      </c>
      <c r="F31" s="2836">
        <f>D31/C31%</f>
        <v>69.504360314465131</v>
      </c>
      <c r="G31" s="1666"/>
      <c r="H31" s="1677"/>
      <c r="I31" s="1678" t="s">
        <v>1981</v>
      </c>
      <c r="J31" s="1767" t="s">
        <v>586</v>
      </c>
      <c r="K31" s="1767" t="s">
        <v>1982</v>
      </c>
      <c r="L31" s="1767" t="s">
        <v>1983</v>
      </c>
      <c r="S31" s="1667"/>
      <c r="T31" s="1668">
        <v>35816</v>
      </c>
      <c r="Z31" s="1759"/>
    </row>
    <row r="32" spans="1:33" s="1668" customFormat="1" ht="20.25" customHeight="1" x14ac:dyDescent="0.2">
      <c r="A32" s="1669">
        <v>3</v>
      </c>
      <c r="B32" s="1670" t="s">
        <v>114</v>
      </c>
      <c r="C32" s="2084">
        <v>88686524.915999994</v>
      </c>
      <c r="D32" s="2084">
        <f>'62_TT342'!E63-14610</f>
        <v>109146973.55599999</v>
      </c>
      <c r="E32" s="2084">
        <f t="shared" si="0"/>
        <v>20460448.640000001</v>
      </c>
      <c r="F32" s="2836">
        <f>D32/C32%</f>
        <v>123.07052695928637</v>
      </c>
      <c r="G32" s="1666"/>
      <c r="H32" s="1677"/>
      <c r="I32" s="1678">
        <f>SUM(I33:I36)</f>
        <v>1461068694</v>
      </c>
      <c r="J32" s="1767">
        <f>SUM(J33:J36)</f>
        <v>1461068.6939999999</v>
      </c>
      <c r="K32" s="1767"/>
      <c r="L32" s="1767">
        <f>SUM(L33:L36)</f>
        <v>1174283.72</v>
      </c>
      <c r="T32" s="1668">
        <f>T30-T31</f>
        <v>-640</v>
      </c>
      <c r="Z32" s="1759"/>
    </row>
    <row r="33" spans="1:29" s="1668" customFormat="1" ht="20.25" customHeight="1" x14ac:dyDescent="0.2">
      <c r="A33" s="1669">
        <v>4</v>
      </c>
      <c r="B33" s="1670" t="s">
        <v>116</v>
      </c>
      <c r="C33" s="2084">
        <v>1399985.2</v>
      </c>
      <c r="D33" s="2258">
        <f>'62_TT342'!E64</f>
        <v>1274291</v>
      </c>
      <c r="E33" s="2084">
        <f t="shared" si="0"/>
        <v>-125694.19999999995</v>
      </c>
      <c r="F33" s="2836">
        <f>D33/C33%</f>
        <v>91.021747944192555</v>
      </c>
      <c r="G33" s="1666"/>
      <c r="H33" s="1677" t="s">
        <v>1650</v>
      </c>
      <c r="I33" s="1678">
        <v>457193300</v>
      </c>
      <c r="J33" s="1767">
        <f>I33/1000</f>
        <v>457193.3</v>
      </c>
      <c r="K33" s="1767"/>
      <c r="L33" s="1767">
        <f>J33</f>
        <v>457193.3</v>
      </c>
      <c r="Z33" s="1759">
        <v>1461068694</v>
      </c>
      <c r="AA33" s="1759">
        <v>1461068.6939999999</v>
      </c>
      <c r="AB33" s="1767">
        <f>1461068.694-AA33</f>
        <v>0</v>
      </c>
      <c r="AC33" s="1779">
        <f>SUM(AC34:AC37)</f>
        <v>1174283.72</v>
      </c>
    </row>
    <row r="34" spans="1:29" s="1668" customFormat="1" ht="14.45" customHeight="1" x14ac:dyDescent="0.2">
      <c r="A34" s="1669">
        <v>5</v>
      </c>
      <c r="B34" s="1670" t="s">
        <v>665</v>
      </c>
      <c r="C34" s="2084">
        <v>3227596.7489999998</v>
      </c>
      <c r="D34" s="2258">
        <f>'62_TT342'!E65-118651.52</f>
        <v>4066927.9389999998</v>
      </c>
      <c r="E34" s="2084"/>
      <c r="F34" s="2836">
        <f t="shared" ref="F34:F36" si="1">D34/C34%</f>
        <v>126.0048344100002</v>
      </c>
      <c r="G34" s="1666"/>
      <c r="H34" s="1677" t="s">
        <v>1600</v>
      </c>
      <c r="I34" s="1678">
        <v>870613874</v>
      </c>
      <c r="J34" s="1767">
        <f t="shared" ref="J34:J36" si="2">I34/1000</f>
        <v>870613.87399999995</v>
      </c>
      <c r="K34" s="1767">
        <v>286784.97399999999</v>
      </c>
      <c r="L34" s="1767">
        <f>J34-K34</f>
        <v>583828.89999999991</v>
      </c>
      <c r="Y34" s="1668" t="s">
        <v>1650</v>
      </c>
      <c r="Z34" s="1759">
        <v>457193300</v>
      </c>
      <c r="AB34" s="1759">
        <f>Z34</f>
        <v>457193300</v>
      </c>
      <c r="AC34" s="1779">
        <v>457193.3</v>
      </c>
    </row>
    <row r="35" spans="1:29" s="1668" customFormat="1" ht="19.149999999999999" customHeight="1" x14ac:dyDescent="0.2">
      <c r="A35" s="1669">
        <v>6</v>
      </c>
      <c r="B35" s="1670" t="s">
        <v>119</v>
      </c>
      <c r="C35" s="2084">
        <v>136846.6</v>
      </c>
      <c r="D35" s="2258">
        <f>'62_TT342'!E66</f>
        <v>136798.6</v>
      </c>
      <c r="E35" s="2084"/>
      <c r="F35" s="2836">
        <f t="shared" si="1"/>
        <v>99.964924229027247</v>
      </c>
      <c r="G35" s="1666"/>
      <c r="H35" s="1677" t="s">
        <v>1629</v>
      </c>
      <c r="I35" s="1678">
        <v>118651520</v>
      </c>
      <c r="J35" s="1767">
        <f t="shared" si="2"/>
        <v>118651.52</v>
      </c>
      <c r="K35" s="1767"/>
      <c r="L35" s="1767">
        <f>J35</f>
        <v>118651.52</v>
      </c>
      <c r="Y35" s="1668" t="s">
        <v>1600</v>
      </c>
      <c r="Z35" s="1759">
        <v>870613874</v>
      </c>
      <c r="AA35" s="1767">
        <f>870613.874</f>
        <v>870613.87399999995</v>
      </c>
      <c r="AB35" s="1767">
        <f>AA35-'48_NĐ31'!E31</f>
        <v>583828.89999999991</v>
      </c>
      <c r="AC35" s="1779">
        <v>583828.89999999991</v>
      </c>
    </row>
    <row r="36" spans="1:29" s="1668" customFormat="1" ht="17.45" customHeight="1" x14ac:dyDescent="0.2">
      <c r="A36" s="1669">
        <v>7</v>
      </c>
      <c r="B36" s="1670" t="s">
        <v>121</v>
      </c>
      <c r="C36" s="2084">
        <v>403101.56</v>
      </c>
      <c r="D36" s="2258">
        <f>'62_TT342'!E67</f>
        <v>444680.95999999996</v>
      </c>
      <c r="E36" s="2084"/>
      <c r="F36" s="2836">
        <f t="shared" si="1"/>
        <v>110.31486953312707</v>
      </c>
      <c r="G36" s="1666"/>
      <c r="H36" s="1677" t="s">
        <v>1691</v>
      </c>
      <c r="I36" s="1678">
        <v>14610000</v>
      </c>
      <c r="J36" s="1767">
        <f t="shared" si="2"/>
        <v>14610</v>
      </c>
      <c r="K36" s="1767"/>
      <c r="L36" s="1767">
        <f>J36</f>
        <v>14610</v>
      </c>
      <c r="Y36" s="1668" t="s">
        <v>1629</v>
      </c>
      <c r="Z36" s="1759">
        <v>118651520</v>
      </c>
      <c r="AB36" s="1759">
        <f>Z36</f>
        <v>118651520</v>
      </c>
      <c r="AC36" s="1779">
        <v>118651.52</v>
      </c>
    </row>
    <row r="37" spans="1:29" s="1668" customFormat="1" ht="20.25" customHeight="1" x14ac:dyDescent="0.2">
      <c r="A37" s="1669">
        <v>8</v>
      </c>
      <c r="B37" s="1670" t="s">
        <v>123</v>
      </c>
      <c r="C37" s="2084">
        <v>8749053.2300000004</v>
      </c>
      <c r="D37" s="2258">
        <f>'62_TT342'!E68</f>
        <v>9119303.682</v>
      </c>
      <c r="E37" s="2084">
        <f t="shared" si="0"/>
        <v>370250.45199999958</v>
      </c>
      <c r="F37" s="2836">
        <f>D37/C37%</f>
        <v>104.23189163749092</v>
      </c>
      <c r="G37" s="1666"/>
      <c r="H37" s="1677"/>
      <c r="I37" s="1678"/>
      <c r="J37" s="1767"/>
      <c r="K37" s="1767"/>
      <c r="L37" s="1767"/>
      <c r="Y37" s="1668" t="s">
        <v>1691</v>
      </c>
      <c r="Z37" s="1759">
        <v>14610000</v>
      </c>
      <c r="AB37" s="1759">
        <f>Z37</f>
        <v>14610000</v>
      </c>
      <c r="AC37" s="1779">
        <v>14610</v>
      </c>
    </row>
    <row r="38" spans="1:29" s="1668" customFormat="1" ht="20.25" customHeight="1" x14ac:dyDescent="0.2">
      <c r="A38" s="1669">
        <v>9</v>
      </c>
      <c r="B38" s="1670" t="s">
        <v>82</v>
      </c>
      <c r="C38" s="2084">
        <v>41617320.995999999</v>
      </c>
      <c r="D38" s="2258">
        <f>'62_TT342'!E69-583828.9</f>
        <v>31054117.705000002</v>
      </c>
      <c r="E38" s="2084">
        <f t="shared" si="0"/>
        <v>-10563203.290999997</v>
      </c>
      <c r="F38" s="2836">
        <f>D38/C38%</f>
        <v>74.618252597241252</v>
      </c>
      <c r="G38" s="1666"/>
      <c r="H38" s="1677"/>
      <c r="I38" s="1678"/>
      <c r="J38" s="1767"/>
      <c r="K38" s="1767"/>
      <c r="L38" s="1767"/>
      <c r="Z38" s="1759"/>
    </row>
    <row r="39" spans="1:29" s="1668" customFormat="1" ht="34.5" customHeight="1" x14ac:dyDescent="0.2">
      <c r="A39" s="1669">
        <v>10</v>
      </c>
      <c r="B39" s="1670" t="s">
        <v>32</v>
      </c>
      <c r="C39" s="2084">
        <v>62197643.375</v>
      </c>
      <c r="D39" s="2258">
        <f>'62_TT342'!E70-457193.3</f>
        <v>122264793.86300001</v>
      </c>
      <c r="E39" s="2084">
        <f t="shared" si="0"/>
        <v>60067150.488000005</v>
      </c>
      <c r="F39" s="2836">
        <f>D39/C39%</f>
        <v>196.57464049858788</v>
      </c>
      <c r="G39" s="1666"/>
      <c r="H39" s="1677"/>
      <c r="I39" s="1678"/>
      <c r="J39" s="1767"/>
      <c r="K39" s="1767"/>
      <c r="L39" s="1767"/>
      <c r="Z39" s="1759"/>
    </row>
    <row r="40" spans="1:29" s="1668" customFormat="1" ht="20.25" customHeight="1" x14ac:dyDescent="0.2">
      <c r="A40" s="1669">
        <v>11</v>
      </c>
      <c r="B40" s="1670" t="s">
        <v>127</v>
      </c>
      <c r="C40" s="2084">
        <v>12422938.1</v>
      </c>
      <c r="D40" s="2258">
        <f>'62_TT342'!E71</f>
        <v>17612829.282000002</v>
      </c>
      <c r="E40" s="2084">
        <f t="shared" si="0"/>
        <v>5189891.1820000019</v>
      </c>
      <c r="F40" s="2836">
        <f>D40/C40%</f>
        <v>141.77668068715565</v>
      </c>
      <c r="G40" s="1666"/>
      <c r="H40" s="1677"/>
      <c r="I40" s="1678"/>
      <c r="J40" s="1767"/>
      <c r="K40" s="1767"/>
      <c r="L40" s="1767"/>
      <c r="Z40" s="1759"/>
    </row>
    <row r="41" spans="1:29" s="1668" customFormat="1" ht="20.25" customHeight="1" x14ac:dyDescent="0.2">
      <c r="A41" s="1669">
        <v>12</v>
      </c>
      <c r="B41" s="1670" t="s">
        <v>75</v>
      </c>
      <c r="C41" s="2084">
        <v>1521090.8</v>
      </c>
      <c r="D41" s="2258">
        <f>'62_TT342'!E72</f>
        <v>1591090.798</v>
      </c>
      <c r="E41" s="2084">
        <f t="shared" si="0"/>
        <v>69999.997999999905</v>
      </c>
      <c r="F41" s="2836">
        <f>D41/C41%</f>
        <v>104.60196051412578</v>
      </c>
      <c r="G41" s="1666"/>
      <c r="H41" s="1677"/>
      <c r="I41" s="1678"/>
      <c r="J41" s="1767"/>
      <c r="K41" s="1767"/>
      <c r="L41" s="1767"/>
      <c r="Z41" s="1759"/>
    </row>
    <row r="42" spans="1:29" s="1668" customFormat="1" ht="20.25" customHeight="1" x14ac:dyDescent="0.2">
      <c r="A42" s="1694">
        <v>13</v>
      </c>
      <c r="B42" s="1695" t="s">
        <v>662</v>
      </c>
      <c r="C42" s="2259">
        <v>645000</v>
      </c>
      <c r="D42" s="2260"/>
      <c r="E42" s="2259"/>
      <c r="F42" s="2887"/>
      <c r="G42" s="1666"/>
      <c r="H42" s="1677"/>
      <c r="I42" s="1678"/>
      <c r="J42" s="1767"/>
      <c r="K42" s="1767"/>
      <c r="L42" s="1767"/>
      <c r="Z42" s="1759"/>
    </row>
    <row r="43" spans="1:29" s="1668" customFormat="1" ht="20.25" customHeight="1" x14ac:dyDescent="0.2">
      <c r="A43" s="1689" t="s">
        <v>17</v>
      </c>
      <c r="B43" s="238" t="s">
        <v>667</v>
      </c>
      <c r="C43" s="2261"/>
      <c r="D43" s="2262">
        <f>'48_NĐ31'!E28</f>
        <v>250000</v>
      </c>
      <c r="E43" s="2261"/>
      <c r="F43" s="2888"/>
      <c r="G43" s="1666"/>
      <c r="H43" s="1677"/>
      <c r="I43" s="1678"/>
      <c r="J43" s="1767"/>
      <c r="K43" s="1767"/>
      <c r="L43" s="1767"/>
      <c r="Z43" s="1759"/>
    </row>
    <row r="44" spans="1:29" s="1659" customFormat="1" ht="21" customHeight="1" x14ac:dyDescent="0.2">
      <c r="A44" s="1652" t="s">
        <v>18</v>
      </c>
      <c r="B44" s="1660" t="s">
        <v>64</v>
      </c>
      <c r="C44" s="2101">
        <v>7604000</v>
      </c>
      <c r="D44" s="2101"/>
      <c r="E44" s="2101">
        <f t="shared" si="0"/>
        <v>-7604000</v>
      </c>
      <c r="F44" s="2833"/>
      <c r="G44" s="1656"/>
      <c r="I44" s="1678"/>
      <c r="J44" s="1808"/>
      <c r="K44" s="1808"/>
      <c r="L44" s="1808"/>
      <c r="Z44" s="1758"/>
    </row>
    <row r="45" spans="1:29" s="1659" customFormat="1" ht="21" customHeight="1" x14ac:dyDescent="0.2">
      <c r="A45" s="1652" t="s">
        <v>22</v>
      </c>
      <c r="B45" s="1660" t="s">
        <v>699</v>
      </c>
      <c r="C45" s="2101">
        <f>SUM(C46:C47)</f>
        <v>115940986.21300001</v>
      </c>
      <c r="D45" s="2101">
        <f>SUM(D46:D47)</f>
        <v>1461068.6940000001</v>
      </c>
      <c r="E45" s="2101">
        <f>SUM(E46:E47)</f>
        <v>0.29315862328377085</v>
      </c>
      <c r="F45" s="2833"/>
      <c r="G45" s="1656"/>
      <c r="I45" s="1678"/>
      <c r="J45" s="1808"/>
      <c r="K45" s="1808"/>
      <c r="L45" s="1808"/>
      <c r="Z45" s="1758"/>
    </row>
    <row r="46" spans="1:29" s="1668" customFormat="1" ht="21" customHeight="1" x14ac:dyDescent="0.2">
      <c r="A46" s="1780">
        <v>1</v>
      </c>
      <c r="B46" s="1781" t="s">
        <v>700</v>
      </c>
      <c r="C46" s="2256">
        <f>'48_NĐ31'!D33-R30</f>
        <v>110957101.79700002</v>
      </c>
      <c r="D46" s="2256"/>
      <c r="E46" s="2263">
        <f>D46/C46</f>
        <v>0</v>
      </c>
      <c r="F46" s="2889"/>
      <c r="G46" s="1666"/>
      <c r="H46" s="1682"/>
      <c r="I46" s="1678"/>
      <c r="J46" s="1767"/>
      <c r="K46" s="1767"/>
      <c r="L46" s="1767"/>
      <c r="Z46" s="1759"/>
    </row>
    <row r="47" spans="1:29" s="1668" customFormat="1" ht="21" customHeight="1" x14ac:dyDescent="0.2">
      <c r="A47" s="1669">
        <v>2</v>
      </c>
      <c r="B47" s="1670" t="s">
        <v>455</v>
      </c>
      <c r="C47" s="2084">
        <f>C48+C49</f>
        <v>4983884.4159999993</v>
      </c>
      <c r="D47" s="2084">
        <f>D48+D49</f>
        <v>1461068.6940000001</v>
      </c>
      <c r="E47" s="2084">
        <f>D47/C47</f>
        <v>0.29315862328377085</v>
      </c>
      <c r="F47" s="2836">
        <f>D47/C47%</f>
        <v>29.315862328377086</v>
      </c>
      <c r="G47" s="1666"/>
      <c r="I47" s="1678"/>
      <c r="J47" s="1767"/>
      <c r="K47" s="1767"/>
      <c r="L47" s="1767"/>
      <c r="Z47" s="1759"/>
    </row>
    <row r="48" spans="1:29" s="1668" customFormat="1" ht="21" customHeight="1" x14ac:dyDescent="0.2">
      <c r="A48" s="1669"/>
      <c r="B48" s="1782" t="s">
        <v>609</v>
      </c>
      <c r="C48" s="2084">
        <f>'48_NĐ31'!D31</f>
        <v>343685.27100000001</v>
      </c>
      <c r="D48" s="2084">
        <f>'48_NĐ31'!E31</f>
        <v>286784.97399999999</v>
      </c>
      <c r="E48" s="2084"/>
      <c r="F48" s="2836"/>
      <c r="G48" s="1666"/>
      <c r="I48" s="1678"/>
      <c r="J48" s="1767"/>
      <c r="K48" s="1767"/>
      <c r="L48" s="1767"/>
      <c r="Z48" s="1759"/>
    </row>
    <row r="49" spans="1:26" s="1668" customFormat="1" ht="21" customHeight="1" x14ac:dyDescent="0.2">
      <c r="A49" s="1694"/>
      <c r="B49" s="1783" t="s">
        <v>535</v>
      </c>
      <c r="C49" s="2259">
        <f>'48_NĐ31'!D32</f>
        <v>4640199.1449999996</v>
      </c>
      <c r="D49" s="2259">
        <f>'48_NĐ31'!E32</f>
        <v>1174283.7200000002</v>
      </c>
      <c r="E49" s="2259"/>
      <c r="F49" s="2887"/>
      <c r="G49" s="1666"/>
      <c r="I49" s="1678"/>
      <c r="J49" s="1767"/>
      <c r="K49" s="1767"/>
      <c r="L49" s="1767"/>
      <c r="Z49" s="1759"/>
    </row>
    <row r="50" spans="1:26" s="1659" customFormat="1" ht="21" customHeight="1" x14ac:dyDescent="0.2">
      <c r="A50" s="1652" t="s">
        <v>22</v>
      </c>
      <c r="B50" s="1660" t="s">
        <v>489</v>
      </c>
      <c r="C50" s="2101"/>
      <c r="D50" s="2101">
        <f>'48_NĐ31'!E27</f>
        <v>10510612.880000001</v>
      </c>
      <c r="E50" s="2101">
        <f t="shared" si="0"/>
        <v>10510612.880000001</v>
      </c>
      <c r="F50" s="1655"/>
      <c r="G50" s="1656"/>
      <c r="H50" s="1683"/>
      <c r="J50" s="1808"/>
      <c r="K50" s="1808"/>
      <c r="L50" s="1808"/>
      <c r="Z50" s="1758"/>
    </row>
    <row r="51" spans="1:26" s="1659" customFormat="1" ht="22.5" customHeight="1" x14ac:dyDescent="0.2">
      <c r="A51" s="1652" t="s">
        <v>45</v>
      </c>
      <c r="B51" s="1660" t="s">
        <v>434</v>
      </c>
      <c r="C51" s="2101"/>
      <c r="D51" s="2255">
        <f>'48_NĐ31'!E36</f>
        <v>36659241.707000002</v>
      </c>
      <c r="E51" s="2101">
        <f t="shared" si="0"/>
        <v>36659241.707000002</v>
      </c>
      <c r="F51" s="1655"/>
      <c r="G51" s="1656"/>
      <c r="I51" s="1684"/>
      <c r="J51" s="1808"/>
      <c r="K51" s="1808"/>
      <c r="L51" s="1808"/>
      <c r="Z51" s="1758"/>
    </row>
    <row r="52" spans="1:26" ht="30" customHeight="1" x14ac:dyDescent="0.25"/>
    <row r="54" spans="1:26" x14ac:dyDescent="0.25">
      <c r="H54" s="46"/>
    </row>
  </sheetData>
  <mergeCells count="10">
    <mergeCell ref="E1:F1"/>
    <mergeCell ref="A3:F3"/>
    <mergeCell ref="A6:A7"/>
    <mergeCell ref="B6:B7"/>
    <mergeCell ref="C6:C7"/>
    <mergeCell ref="D6:D7"/>
    <mergeCell ref="E6:F6"/>
    <mergeCell ref="A4:F4"/>
    <mergeCell ref="D5:F5"/>
    <mergeCell ref="A2:F2"/>
  </mergeCells>
  <pageMargins left="0.98425196850393704" right="0.62992125984252001" top="0.59055118110236204" bottom="0.53" header="0.31496062992126" footer="0.31496062992126"/>
  <pageSetup paperSize="9" scale="78" firstPageNumber="19" orientation="portrait" useFirstPageNumber="1"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sheetPr>
  <dimension ref="A1:CW64"/>
  <sheetViews>
    <sheetView zoomScaleNormal="100" zoomScaleSheetLayoutView="85" zoomScalePageLayoutView="85" workbookViewId="0">
      <pane xSplit="2" ySplit="6" topLeftCell="E7" activePane="bottomRight" state="frozen"/>
      <selection pane="topRight" activeCell="C1" sqref="C1"/>
      <selection pane="bottomLeft" activeCell="A8" sqref="A8"/>
      <selection pane="bottomRight" activeCell="Y1" sqref="Y1"/>
    </sheetView>
  </sheetViews>
  <sheetFormatPr defaultColWidth="8.85546875" defaultRowHeight="12.75" x14ac:dyDescent="0.2"/>
  <cols>
    <col min="1" max="1" width="6" style="119" customWidth="1"/>
    <col min="2" max="2" width="56" style="119" customWidth="1"/>
    <col min="3" max="3" width="13.7109375" style="119" customWidth="1"/>
    <col min="4" max="4" width="12.5703125" style="119" customWidth="1"/>
    <col min="5" max="5" width="9.28515625" style="119" customWidth="1"/>
    <col min="6" max="6" width="11.28515625" style="979" customWidth="1"/>
    <col min="7" max="7" width="10.42578125" style="980" customWidth="1"/>
    <col min="8" max="8" width="9.140625" style="980" customWidth="1"/>
    <col min="9" max="9" width="7.5703125" style="119" customWidth="1"/>
    <col min="10" max="10" width="7.140625" style="119" customWidth="1"/>
    <col min="11" max="11" width="5.140625" style="855" customWidth="1"/>
    <col min="12" max="12" width="24.5703125" style="855" hidden="1" customWidth="1"/>
    <col min="13" max="13" width="20.28515625" style="855" hidden="1" customWidth="1"/>
    <col min="14" max="14" width="21.140625" style="855" hidden="1" customWidth="1"/>
    <col min="15" max="15" width="21.28515625" style="855" hidden="1" customWidth="1"/>
    <col min="16" max="22" width="8.85546875" style="855" hidden="1" customWidth="1"/>
    <col min="23" max="31" width="8.85546875" style="855" customWidth="1"/>
    <col min="32" max="32" width="18.42578125" style="855" customWidth="1"/>
    <col min="33" max="33" width="20.5703125" style="855" customWidth="1"/>
    <col min="34" max="16384" width="8.85546875" style="855"/>
  </cols>
  <sheetData>
    <row r="1" spans="1:33" ht="15" x14ac:dyDescent="0.25">
      <c r="A1" s="3147" t="str">
        <f>'48_NĐ31'!A1</f>
        <v xml:space="preserve">UBND PHƯỜNG BẮC KẠN </v>
      </c>
      <c r="B1" s="3147"/>
      <c r="C1" s="3147"/>
      <c r="K1" s="981"/>
      <c r="W1" s="36" t="s">
        <v>963</v>
      </c>
      <c r="Y1" s="1343" t="s">
        <v>1387</v>
      </c>
    </row>
    <row r="2" spans="1:33" ht="17.25" customHeight="1" x14ac:dyDescent="0.2">
      <c r="A2" s="3148" t="s">
        <v>734</v>
      </c>
      <c r="B2" s="3148"/>
      <c r="C2" s="3148"/>
      <c r="D2" s="3148"/>
      <c r="E2" s="3148"/>
      <c r="F2" s="3148"/>
      <c r="G2" s="3148"/>
      <c r="H2" s="3148"/>
      <c r="I2" s="3148"/>
      <c r="J2" s="3148"/>
      <c r="K2" s="3148"/>
    </row>
    <row r="3" spans="1:33" ht="17.45" customHeight="1" x14ac:dyDescent="0.2">
      <c r="A3" s="3153" t="str">
        <f>'48_NĐ31'!A4:G4</f>
        <v>(Kèm theo Quyết định số          /QĐ-UBND ngày          /4/2026 của UBND phường Bắc Kạn)</v>
      </c>
      <c r="B3" s="3153"/>
      <c r="C3" s="3153"/>
      <c r="D3" s="3153"/>
      <c r="E3" s="3153"/>
      <c r="F3" s="3153"/>
      <c r="G3" s="3153"/>
      <c r="H3" s="3153"/>
      <c r="I3" s="3153"/>
      <c r="J3" s="3153"/>
      <c r="K3" s="3153"/>
    </row>
    <row r="4" spans="1:33" ht="12" customHeight="1" x14ac:dyDescent="0.2">
      <c r="K4" s="982" t="s">
        <v>1187</v>
      </c>
    </row>
    <row r="5" spans="1:33" s="119" customFormat="1" ht="19.5" customHeight="1" x14ac:dyDescent="0.2">
      <c r="A5" s="3149" t="s">
        <v>0</v>
      </c>
      <c r="B5" s="3149" t="s">
        <v>399</v>
      </c>
      <c r="C5" s="3150" t="s">
        <v>1382</v>
      </c>
      <c r="D5" s="3150" t="s">
        <v>14</v>
      </c>
      <c r="E5" s="3150"/>
      <c r="F5" s="3151" t="s">
        <v>400</v>
      </c>
      <c r="G5" s="3152" t="s">
        <v>14</v>
      </c>
      <c r="H5" s="3152"/>
      <c r="I5" s="3150" t="s">
        <v>414</v>
      </c>
      <c r="J5" s="3150"/>
      <c r="K5" s="3150"/>
    </row>
    <row r="6" spans="1:33" s="119" customFormat="1" ht="42" customHeight="1" x14ac:dyDescent="0.2">
      <c r="A6" s="3149"/>
      <c r="B6" s="3149"/>
      <c r="C6" s="3150"/>
      <c r="D6" s="965" t="s">
        <v>501</v>
      </c>
      <c r="E6" s="965" t="s">
        <v>502</v>
      </c>
      <c r="F6" s="3151"/>
      <c r="G6" s="978" t="s">
        <v>501</v>
      </c>
      <c r="H6" s="978" t="s">
        <v>502</v>
      </c>
      <c r="I6" s="977" t="s">
        <v>438</v>
      </c>
      <c r="J6" s="977" t="s">
        <v>501</v>
      </c>
      <c r="K6" s="977" t="s">
        <v>502</v>
      </c>
      <c r="L6" s="125"/>
    </row>
    <row r="7" spans="1:33" s="119" customFormat="1" ht="21" customHeight="1" x14ac:dyDescent="0.2">
      <c r="A7" s="169" t="s">
        <v>3</v>
      </c>
      <c r="B7" s="169" t="s">
        <v>4</v>
      </c>
      <c r="C7" s="308" t="s">
        <v>35</v>
      </c>
      <c r="D7" s="308">
        <v>2</v>
      </c>
      <c r="E7" s="308">
        <v>3</v>
      </c>
      <c r="F7" s="1011" t="s">
        <v>36</v>
      </c>
      <c r="G7" s="309">
        <v>5</v>
      </c>
      <c r="H7" s="309">
        <v>6</v>
      </c>
      <c r="I7" s="308" t="s">
        <v>439</v>
      </c>
      <c r="J7" s="308" t="s">
        <v>440</v>
      </c>
      <c r="K7" s="965" t="s">
        <v>441</v>
      </c>
      <c r="L7" s="191"/>
      <c r="M7" s="223"/>
    </row>
    <row r="8" spans="1:33" s="190" customFormat="1" ht="25.5" customHeight="1" x14ac:dyDescent="0.2">
      <c r="A8" s="127"/>
      <c r="B8" s="128" t="s">
        <v>77</v>
      </c>
      <c r="C8" s="1012">
        <f>SUM(C9,C20)</f>
        <v>237416187.95299998</v>
      </c>
      <c r="D8" s="1012">
        <f>SUM(D9,D20,D58)</f>
        <v>237367135.95299998</v>
      </c>
      <c r="E8" s="1012">
        <f>SUM(E9,E20,E58)</f>
        <v>49052</v>
      </c>
      <c r="F8" s="1013" t="e">
        <f>SUM(F9,F20,F58)</f>
        <v>#REF!</v>
      </c>
      <c r="G8" s="1013" t="e">
        <f>SUM(G9,G20,G58)</f>
        <v>#REF!</v>
      </c>
      <c r="H8" s="1013">
        <f>SUM(H9,H20,H58)</f>
        <v>338630495.12564099</v>
      </c>
      <c r="I8" s="145" t="e">
        <f t="shared" ref="I8:K9" si="0">F8/C8%</f>
        <v>#REF!</v>
      </c>
      <c r="J8" s="145" t="e">
        <f t="shared" si="0"/>
        <v>#REF!</v>
      </c>
      <c r="K8" s="129">
        <f t="shared" si="0"/>
        <v>690350.02675862552</v>
      </c>
      <c r="L8" s="971">
        <f>'62_TT342'!E9</f>
        <v>374832535.13300002</v>
      </c>
      <c r="M8" s="971">
        <f>'62_TT342'!G9</f>
        <v>359944212.46999997</v>
      </c>
      <c r="N8" s="983"/>
      <c r="O8" s="191"/>
    </row>
    <row r="9" spans="1:33" s="190" customFormat="1" ht="26.25" customHeight="1" x14ac:dyDescent="0.2">
      <c r="A9" s="169" t="s">
        <v>3</v>
      </c>
      <c r="B9" s="247" t="s">
        <v>78</v>
      </c>
      <c r="C9" s="239">
        <f>SUM(C10,C14,C17,)</f>
        <v>235019276.59599999</v>
      </c>
      <c r="D9" s="239">
        <f>SUM(D10,D14,D17,D19)</f>
        <v>234972355.99599999</v>
      </c>
      <c r="E9" s="239">
        <f>SUM(E10,E14,E17,E19)</f>
        <v>46920.6</v>
      </c>
      <c r="F9" s="1014" t="e">
        <f>SUM(F10,F14,F17,F18,F19)</f>
        <v>#REF!</v>
      </c>
      <c r="G9" s="875" t="e">
        <f>SUM(G10,G14,G17,G18,G19)</f>
        <v>#REF!</v>
      </c>
      <c r="H9" s="875">
        <f>SUM(H10,H14,H17,H18,H19)</f>
        <v>300504577.12648499</v>
      </c>
      <c r="I9" s="239" t="e">
        <f t="shared" si="0"/>
        <v>#REF!</v>
      </c>
      <c r="J9" s="239" t="e">
        <f t="shared" si="0"/>
        <v>#REF!</v>
      </c>
      <c r="K9" s="132">
        <f t="shared" si="0"/>
        <v>640453.39813745988</v>
      </c>
      <c r="L9" s="971">
        <f>'62_TT342'!F9</f>
        <v>14888322.662999999</v>
      </c>
      <c r="M9" s="971">
        <f>M8-H8</f>
        <v>21313717.344358981</v>
      </c>
      <c r="N9" s="985"/>
      <c r="O9" s="191"/>
    </row>
    <row r="10" spans="1:33" s="190" customFormat="1" ht="25.5" customHeight="1" x14ac:dyDescent="0.2">
      <c r="A10" s="169" t="s">
        <v>5</v>
      </c>
      <c r="B10" s="247" t="s">
        <v>27</v>
      </c>
      <c r="C10" s="239">
        <f>SUM(D10:E10)</f>
        <v>0</v>
      </c>
      <c r="D10" s="239">
        <f>SUM(D11,D12,D13)</f>
        <v>0</v>
      </c>
      <c r="E10" s="239"/>
      <c r="F10" s="1014">
        <f>SUM(G10:H10)</f>
        <v>1584752.5826410002</v>
      </c>
      <c r="G10" s="875">
        <f>SUM(G11,G12,G13)</f>
        <v>1584717.0630000001</v>
      </c>
      <c r="H10" s="875">
        <f>SUM(H11,H12,H13)</f>
        <v>35.519641</v>
      </c>
      <c r="I10" s="239" t="e">
        <f>F10/C10%</f>
        <v>#DIV/0!</v>
      </c>
      <c r="J10" s="239" t="e">
        <f>G10/D10%</f>
        <v>#DIV/0!</v>
      </c>
      <c r="K10" s="132"/>
      <c r="L10" s="971" t="e">
        <f>L9-G8</f>
        <v>#REF!</v>
      </c>
      <c r="M10" s="971" t="e">
        <f>L8-F8</f>
        <v>#REF!</v>
      </c>
      <c r="N10" s="986"/>
    </row>
    <row r="11" spans="1:33" s="989" customFormat="1" ht="22.9" customHeight="1" x14ac:dyDescent="0.25">
      <c r="A11" s="161">
        <v>1</v>
      </c>
      <c r="B11" s="327" t="s">
        <v>79</v>
      </c>
      <c r="C11" s="508">
        <f>SUM(D11:E11)</f>
        <v>0</v>
      </c>
      <c r="D11" s="508">
        <f>'52_NĐ31'!C13</f>
        <v>0</v>
      </c>
      <c r="E11" s="508"/>
      <c r="F11" s="1015">
        <f>SUM(G11:H11)</f>
        <v>1584752.5826410002</v>
      </c>
      <c r="G11" s="1016">
        <f>'62_TT342'!F44-G37</f>
        <v>1584717.0630000001</v>
      </c>
      <c r="H11" s="1016">
        <f>'5.14.2'!M32</f>
        <v>35.519641</v>
      </c>
      <c r="I11" s="508" t="e">
        <f>F11/C11%</f>
        <v>#DIV/0!</v>
      </c>
      <c r="J11" s="508" t="e">
        <f>G11/D11%</f>
        <v>#DIV/0!</v>
      </c>
      <c r="K11" s="133"/>
      <c r="L11" s="987" t="e">
        <f>L8-F8</f>
        <v>#REF!</v>
      </c>
      <c r="M11" s="987"/>
      <c r="N11" s="988"/>
    </row>
    <row r="12" spans="1:33" s="989" customFormat="1" ht="41.25" customHeight="1" x14ac:dyDescent="0.25">
      <c r="A12" s="109">
        <v>2</v>
      </c>
      <c r="B12" s="143" t="s">
        <v>69</v>
      </c>
      <c r="C12" s="509"/>
      <c r="D12" s="509"/>
      <c r="E12" s="509"/>
      <c r="F12" s="1017"/>
      <c r="G12" s="1018"/>
      <c r="H12" s="1018"/>
      <c r="I12" s="509"/>
      <c r="J12" s="509"/>
      <c r="K12" s="134"/>
      <c r="L12" s="987"/>
      <c r="M12" s="987"/>
    </row>
    <row r="13" spans="1:33" s="989" customFormat="1" ht="19.5" customHeight="1" x14ac:dyDescent="0.25">
      <c r="A13" s="325">
        <v>3</v>
      </c>
      <c r="B13" s="326" t="s">
        <v>25</v>
      </c>
      <c r="C13" s="510"/>
      <c r="D13" s="510"/>
      <c r="E13" s="510"/>
      <c r="F13" s="1019"/>
      <c r="G13" s="1020"/>
      <c r="H13" s="1020"/>
      <c r="I13" s="510"/>
      <c r="J13" s="510"/>
      <c r="K13" s="135"/>
      <c r="L13" s="987"/>
      <c r="M13" s="987"/>
      <c r="N13" s="990"/>
    </row>
    <row r="14" spans="1:33" s="190" customFormat="1" ht="27" customHeight="1" x14ac:dyDescent="0.2">
      <c r="A14" s="169" t="s">
        <v>11</v>
      </c>
      <c r="B14" s="170" t="s">
        <v>28</v>
      </c>
      <c r="C14" s="239">
        <f>SUM(D14:E14)</f>
        <v>227413899.49599999</v>
      </c>
      <c r="D14" s="239">
        <f>'52_NĐ31'!C29-D38</f>
        <v>227368355.99599999</v>
      </c>
      <c r="E14" s="239">
        <v>45543.5</v>
      </c>
      <c r="F14" s="1014" t="e">
        <f>'62_TT342'!E60-F24-F27-F30-F32-F34-F35</f>
        <v>#REF!</v>
      </c>
      <c r="G14" s="875" t="e">
        <f>('62_TT342'!F60+'62_TT342'!F74-G27-G30-G38-G24)</f>
        <v>#REF!</v>
      </c>
      <c r="H14" s="875">
        <f>('62_TT342'!G60+'62_TT342'!G74-H27-H30-H38-H24)</f>
        <v>289993928.72684401</v>
      </c>
      <c r="I14" s="239" t="e">
        <f>F14/C14%</f>
        <v>#REF!</v>
      </c>
      <c r="J14" s="239" t="e">
        <f>G14/D14%</f>
        <v>#REF!</v>
      </c>
      <c r="K14" s="132">
        <f>H14/E14%</f>
        <v>636740.54195844417</v>
      </c>
      <c r="L14" s="971"/>
      <c r="M14" s="971">
        <f>'62_TT342'!F60</f>
        <v>13303605.6</v>
      </c>
      <c r="N14" s="254">
        <f>M14-H14</f>
        <v>-276690323.12684399</v>
      </c>
      <c r="AF14" s="991"/>
      <c r="AG14" s="991"/>
    </row>
    <row r="15" spans="1:33" s="119" customFormat="1" ht="16.899999999999999" customHeight="1" x14ac:dyDescent="0.2">
      <c r="A15" s="235"/>
      <c r="B15" s="1021" t="s">
        <v>49</v>
      </c>
      <c r="C15" s="154"/>
      <c r="D15" s="154"/>
      <c r="E15" s="154"/>
      <c r="F15" s="1022"/>
      <c r="G15" s="1023"/>
      <c r="H15" s="1023"/>
      <c r="I15" s="154"/>
      <c r="J15" s="154"/>
      <c r="K15" s="124"/>
      <c r="L15" s="992"/>
      <c r="M15" s="972" t="e">
        <f>M14-G14</f>
        <v>#REF!</v>
      </c>
      <c r="N15" s="993"/>
      <c r="O15" s="994"/>
      <c r="AF15" s="995"/>
      <c r="AG15" s="995"/>
    </row>
    <row r="16" spans="1:33" s="119" customFormat="1" ht="19.5" customHeight="1" x14ac:dyDescent="0.2">
      <c r="A16" s="157">
        <v>1</v>
      </c>
      <c r="B16" s="236" t="s">
        <v>33</v>
      </c>
      <c r="C16" s="237">
        <f>SUM(D16:E16)</f>
        <v>136563</v>
      </c>
      <c r="D16" s="237">
        <v>136563</v>
      </c>
      <c r="E16" s="237"/>
      <c r="F16" s="1024" t="e">
        <f>SUM(G16:H16)</f>
        <v>#REF!</v>
      </c>
      <c r="G16" s="1025" t="e">
        <f>'56_NĐ31'!#REF!</f>
        <v>#REF!</v>
      </c>
      <c r="H16" s="1025"/>
      <c r="I16" s="237" t="e">
        <f>F16/C16%</f>
        <v>#REF!</v>
      </c>
      <c r="J16" s="237" t="e">
        <f>G16/D16%</f>
        <v>#REF!</v>
      </c>
      <c r="K16" s="123"/>
      <c r="L16" s="972"/>
      <c r="M16" s="972"/>
      <c r="N16" s="255"/>
    </row>
    <row r="17" spans="1:33" s="190" customFormat="1" ht="27.75" customHeight="1" x14ac:dyDescent="0.2">
      <c r="A17" s="169" t="s">
        <v>17</v>
      </c>
      <c r="B17" s="170" t="s">
        <v>64</v>
      </c>
      <c r="C17" s="239">
        <f>SUM(D17:E17)</f>
        <v>7605377.0999999996</v>
      </c>
      <c r="D17" s="239">
        <f>'52_NĐ31'!C44</f>
        <v>7604000</v>
      </c>
      <c r="E17" s="239">
        <v>1377.1</v>
      </c>
      <c r="F17" s="1026"/>
      <c r="G17" s="875"/>
      <c r="H17" s="875"/>
      <c r="I17" s="239"/>
      <c r="J17" s="239"/>
      <c r="K17" s="132"/>
      <c r="L17" s="971"/>
      <c r="M17" s="971"/>
      <c r="N17" s="254"/>
    </row>
    <row r="18" spans="1:33" s="190" customFormat="1" ht="21.75" customHeight="1" x14ac:dyDescent="0.2">
      <c r="A18" s="169" t="s">
        <v>18</v>
      </c>
      <c r="B18" s="170" t="s">
        <v>565</v>
      </c>
      <c r="C18" s="239">
        <f>SUM(D18:E18)</f>
        <v>0</v>
      </c>
      <c r="D18" s="239"/>
      <c r="E18" s="239"/>
      <c r="F18" s="1014"/>
      <c r="G18" s="875"/>
      <c r="H18" s="875"/>
      <c r="I18" s="239"/>
      <c r="J18" s="239"/>
      <c r="K18" s="132"/>
      <c r="L18" s="971"/>
      <c r="M18" s="971"/>
      <c r="N18" s="254"/>
    </row>
    <row r="19" spans="1:33" s="119" customFormat="1" ht="23.25" customHeight="1" x14ac:dyDescent="0.2">
      <c r="A19" s="169" t="s">
        <v>22</v>
      </c>
      <c r="B19" s="170" t="s">
        <v>489</v>
      </c>
      <c r="C19" s="239"/>
      <c r="D19" s="239"/>
      <c r="E19" s="239"/>
      <c r="F19" s="1014">
        <f>SUM(G19:H19)</f>
        <v>10510612.880000001</v>
      </c>
      <c r="G19" s="875">
        <f>'62_TT342'!F83</f>
        <v>0</v>
      </c>
      <c r="H19" s="875">
        <f>'62_TT342'!G83</f>
        <v>10510612.880000001</v>
      </c>
      <c r="I19" s="239"/>
      <c r="J19" s="239"/>
      <c r="K19" s="132"/>
      <c r="L19" s="972"/>
      <c r="M19" s="972"/>
      <c r="N19" s="255"/>
    </row>
    <row r="20" spans="1:33" s="999" customFormat="1" ht="24" customHeight="1" x14ac:dyDescent="0.2">
      <c r="A20" s="169" t="s">
        <v>4</v>
      </c>
      <c r="B20" s="170" t="s">
        <v>433</v>
      </c>
      <c r="C20" s="1014">
        <f>SUM(D20:E20)</f>
        <v>2396911.3569999998</v>
      </c>
      <c r="D20" s="1014">
        <f>SUM(D21,D35)</f>
        <v>2394779.9569999999</v>
      </c>
      <c r="E20" s="1014">
        <f>E21+E35</f>
        <v>2131.4</v>
      </c>
      <c r="F20" s="1014" t="e">
        <f>SUM(G20:H20)</f>
        <v>#REF!</v>
      </c>
      <c r="G20" s="875" t="e">
        <f>SUM(G21,G38)</f>
        <v>#REF!</v>
      </c>
      <c r="H20" s="875">
        <f>SUM(H21,H38,H36)</f>
        <v>1466676.2921560002</v>
      </c>
      <c r="I20" s="239" t="e">
        <f>F20/C20%</f>
        <v>#REF!</v>
      </c>
      <c r="J20" s="239" t="e">
        <f>G20/D20%</f>
        <v>#REF!</v>
      </c>
      <c r="K20" s="132"/>
      <c r="L20" s="996">
        <v>2131.4</v>
      </c>
      <c r="M20" s="996">
        <f>L20-E20</f>
        <v>0</v>
      </c>
      <c r="N20" s="997"/>
      <c r="O20" s="998"/>
    </row>
    <row r="21" spans="1:33" s="119" customFormat="1" ht="24.75" customHeight="1" x14ac:dyDescent="0.2">
      <c r="A21" s="169" t="s">
        <v>5</v>
      </c>
      <c r="B21" s="170" t="s">
        <v>536</v>
      </c>
      <c r="C21" s="1014">
        <f>C22+C25+C28</f>
        <v>2393963.9569999999</v>
      </c>
      <c r="D21" s="1014">
        <f t="shared" ref="D21:G21" si="1">D22+D25+D28</f>
        <v>2393439.9569999999</v>
      </c>
      <c r="E21" s="1014">
        <f>E22+E25+E28</f>
        <v>524</v>
      </c>
      <c r="F21" s="1014" t="e">
        <f t="shared" si="1"/>
        <v>#REF!</v>
      </c>
      <c r="G21" s="1014" t="e">
        <f t="shared" si="1"/>
        <v>#REF!</v>
      </c>
      <c r="H21" s="1014">
        <f>H22+H25+H28</f>
        <v>1461068.6940000001</v>
      </c>
      <c r="I21" s="239"/>
      <c r="J21" s="239"/>
      <c r="K21" s="132"/>
      <c r="L21" s="255" t="e">
        <f>L22+L25+L28</f>
        <v>#REF!</v>
      </c>
      <c r="M21" s="222"/>
      <c r="N21" s="992"/>
    </row>
    <row r="22" spans="1:33" s="989" customFormat="1" ht="23.25" customHeight="1" x14ac:dyDescent="0.25">
      <c r="A22" s="825">
        <v>1</v>
      </c>
      <c r="B22" s="514" t="s">
        <v>532</v>
      </c>
      <c r="C22" s="1027">
        <f>SUM(C23:C24)</f>
        <v>278000</v>
      </c>
      <c r="D22" s="1027">
        <f>SUM(D23:D24)</f>
        <v>278000</v>
      </c>
      <c r="E22" s="1027">
        <f>E23+E24</f>
        <v>0</v>
      </c>
      <c r="F22" s="1027" t="e">
        <f>SUM(F23:F24)</f>
        <v>#REF!</v>
      </c>
      <c r="G22" s="1027" t="e">
        <f>SUM(G23:G24)</f>
        <v>#REF!</v>
      </c>
      <c r="H22" s="1027">
        <f>H23+H24</f>
        <v>723504.32000000007</v>
      </c>
      <c r="I22" s="1027"/>
      <c r="J22" s="1027"/>
      <c r="K22" s="1000"/>
      <c r="L22" s="1001" t="e">
        <f>'61_NĐ31'!#REF!</f>
        <v>#REF!</v>
      </c>
      <c r="M22" s="990"/>
      <c r="N22" s="1002"/>
    </row>
    <row r="23" spans="1:33" s="119" customFormat="1" ht="18.75" customHeight="1" x14ac:dyDescent="0.2">
      <c r="A23" s="108" t="s">
        <v>514</v>
      </c>
      <c r="B23" s="101" t="s">
        <v>494</v>
      </c>
      <c r="C23" s="158">
        <f>D23+E23</f>
        <v>0</v>
      </c>
      <c r="D23" s="158"/>
      <c r="E23" s="158"/>
      <c r="F23" s="1028">
        <f>SUM(G23:H23)</f>
        <v>0</v>
      </c>
      <c r="G23" s="1028"/>
      <c r="H23" s="1028">
        <v>0</v>
      </c>
      <c r="I23" s="1018"/>
      <c r="J23" s="158"/>
      <c r="K23" s="122"/>
      <c r="L23" s="1003"/>
      <c r="N23" s="321"/>
      <c r="AG23" s="994"/>
    </row>
    <row r="24" spans="1:33" s="119" customFormat="1" ht="19.5" customHeight="1" x14ac:dyDescent="0.2">
      <c r="A24" s="108" t="s">
        <v>514</v>
      </c>
      <c r="B24" s="101" t="s">
        <v>535</v>
      </c>
      <c r="C24" s="158">
        <f>D24+E24</f>
        <v>278000</v>
      </c>
      <c r="D24" s="158">
        <f>'51_NĐ31'!C45</f>
        <v>278000</v>
      </c>
      <c r="E24" s="158"/>
      <c r="F24" s="1028" t="e">
        <f>SUM(G24:H24)</f>
        <v>#REF!</v>
      </c>
      <c r="G24" s="1028" t="e">
        <f>'61_NĐ31'!#REF!</f>
        <v>#REF!</v>
      </c>
      <c r="H24" s="1028">
        <f>'61_NĐ31'!T12</f>
        <v>723504.32000000007</v>
      </c>
      <c r="I24" s="1018"/>
      <c r="J24" s="158"/>
      <c r="K24" s="122"/>
      <c r="L24" s="321"/>
    </row>
    <row r="25" spans="1:33" s="989" customFormat="1" ht="24.75" customHeight="1" x14ac:dyDescent="0.25">
      <c r="A25" s="109">
        <v>2</v>
      </c>
      <c r="B25" s="515" t="s">
        <v>531</v>
      </c>
      <c r="C25" s="509">
        <f t="shared" ref="C25:H25" si="2">SUM(C26:C27)</f>
        <v>111698</v>
      </c>
      <c r="D25" s="509">
        <f t="shared" si="2"/>
        <v>111598</v>
      </c>
      <c r="E25" s="509">
        <f t="shared" si="2"/>
        <v>100</v>
      </c>
      <c r="F25" s="1018" t="e">
        <f t="shared" si="2"/>
        <v>#REF!</v>
      </c>
      <c r="G25" s="1018" t="e">
        <f t="shared" si="2"/>
        <v>#REF!</v>
      </c>
      <c r="H25" s="1018">
        <f t="shared" si="2"/>
        <v>471954.37399999995</v>
      </c>
      <c r="I25" s="158"/>
      <c r="J25" s="158"/>
      <c r="K25" s="134"/>
      <c r="L25" s="1004" t="e">
        <f>'61_NĐ31'!#REF!</f>
        <v>#REF!</v>
      </c>
      <c r="M25" s="1005"/>
    </row>
    <row r="26" spans="1:33" s="119" customFormat="1" ht="19.5" customHeight="1" x14ac:dyDescent="0.2">
      <c r="A26" s="108" t="s">
        <v>514</v>
      </c>
      <c r="B26" s="101" t="s">
        <v>494</v>
      </c>
      <c r="C26" s="1028">
        <f>SUM(D26:E26)</f>
        <v>1698</v>
      </c>
      <c r="D26" s="158">
        <v>1698</v>
      </c>
      <c r="E26" s="158"/>
      <c r="F26" s="1028" t="e">
        <f>SUM(G26:H26)</f>
        <v>#REF!</v>
      </c>
      <c r="G26" s="1028" t="e">
        <f>'61_NĐ31'!#REF!</f>
        <v>#REF!</v>
      </c>
      <c r="H26" s="1028">
        <f>'61_NĐ31'!J12</f>
        <v>286784.97399999999</v>
      </c>
      <c r="I26" s="158"/>
      <c r="J26" s="158"/>
      <c r="K26" s="122"/>
      <c r="L26" s="256"/>
    </row>
    <row r="27" spans="1:33" s="119" customFormat="1" ht="19.5" customHeight="1" x14ac:dyDescent="0.2">
      <c r="A27" s="108" t="s">
        <v>514</v>
      </c>
      <c r="B27" s="101" t="s">
        <v>535</v>
      </c>
      <c r="C27" s="158">
        <f>SUM(D27:E27)</f>
        <v>110000</v>
      </c>
      <c r="D27" s="158">
        <f>'51_NĐ31'!C52-E27</f>
        <v>109900</v>
      </c>
      <c r="E27" s="158">
        <f>100</f>
        <v>100</v>
      </c>
      <c r="F27" s="1028" t="e">
        <f>SUM(G27:H27)</f>
        <v>#REF!</v>
      </c>
      <c r="G27" s="1028" t="e">
        <f>'61_NĐ31'!#REF!</f>
        <v>#REF!</v>
      </c>
      <c r="H27" s="1028">
        <f>'61_NĐ31'!M12</f>
        <v>185169.4</v>
      </c>
      <c r="I27" s="158"/>
      <c r="J27" s="158"/>
      <c r="K27" s="122"/>
      <c r="L27" s="256"/>
    </row>
    <row r="28" spans="1:33" s="989" customFormat="1" ht="30" customHeight="1" x14ac:dyDescent="0.25">
      <c r="A28" s="109">
        <v>3</v>
      </c>
      <c r="B28" s="515" t="s">
        <v>661</v>
      </c>
      <c r="C28" s="509">
        <f t="shared" ref="C28:D28" si="3">C30+C29</f>
        <v>2004265.9569999999</v>
      </c>
      <c r="D28" s="509">
        <f t="shared" si="3"/>
        <v>2003841.9569999999</v>
      </c>
      <c r="E28" s="509">
        <f>E30+E29</f>
        <v>424</v>
      </c>
      <c r="F28" s="509" t="e">
        <f>F30+F29</f>
        <v>#REF!</v>
      </c>
      <c r="G28" s="509" t="e">
        <f>G30+G29</f>
        <v>#REF!</v>
      </c>
      <c r="H28" s="509">
        <f>H30+H29</f>
        <v>265610</v>
      </c>
      <c r="I28" s="509"/>
      <c r="J28" s="158"/>
      <c r="K28" s="134"/>
      <c r="L28" s="1004" t="e">
        <f>'61_NĐ31'!#REF!</f>
        <v>#REF!</v>
      </c>
      <c r="M28" s="1006" t="e">
        <f>F26+F29+F37</f>
        <v>#REF!</v>
      </c>
      <c r="O28" s="988"/>
      <c r="W28" s="988" t="e">
        <f>F24+F27+F30</f>
        <v>#REF!</v>
      </c>
    </row>
    <row r="29" spans="1:33" s="989" customFormat="1" ht="18" customHeight="1" x14ac:dyDescent="0.25">
      <c r="A29" s="109"/>
      <c r="B29" s="101" t="s">
        <v>494</v>
      </c>
      <c r="C29" s="158">
        <f>D29+E29</f>
        <v>369</v>
      </c>
      <c r="D29" s="234"/>
      <c r="E29" s="158">
        <f>369</f>
        <v>369</v>
      </c>
      <c r="F29" s="1028">
        <f>SUM(G29:H29)</f>
        <v>0</v>
      </c>
      <c r="G29" s="1029"/>
      <c r="H29" s="1028">
        <f>'61_NĐ31'!X12</f>
        <v>0</v>
      </c>
      <c r="I29" s="158"/>
      <c r="J29" s="158"/>
      <c r="K29" s="134"/>
      <c r="L29" s="1004"/>
      <c r="M29" s="1005"/>
    </row>
    <row r="30" spans="1:33" s="119" customFormat="1" ht="20.45" customHeight="1" x14ac:dyDescent="0.2">
      <c r="A30" s="108" t="s">
        <v>514</v>
      </c>
      <c r="B30" s="101" t="s">
        <v>535</v>
      </c>
      <c r="C30" s="158">
        <f>SUM(D30:E30)</f>
        <v>2003896.9569999999</v>
      </c>
      <c r="D30" s="158">
        <f>'51_NĐ31'!C62-E30</f>
        <v>2003841.9569999999</v>
      </c>
      <c r="E30" s="158">
        <f>55</f>
        <v>55</v>
      </c>
      <c r="F30" s="1028" t="e">
        <f>SUM(G30:H30)</f>
        <v>#REF!</v>
      </c>
      <c r="G30" s="1028" t="e">
        <f>'61_NĐ31'!#REF!</f>
        <v>#REF!</v>
      </c>
      <c r="H30" s="1028">
        <f>'61_NĐ31'!AA12</f>
        <v>265610</v>
      </c>
      <c r="I30" s="158"/>
      <c r="J30" s="158"/>
      <c r="K30" s="122"/>
      <c r="L30" s="256"/>
    </row>
    <row r="31" spans="1:33" s="989" customFormat="1" ht="28.5" hidden="1" customHeight="1" x14ac:dyDescent="0.25">
      <c r="A31" s="109">
        <v>4</v>
      </c>
      <c r="B31" s="515" t="s">
        <v>594</v>
      </c>
      <c r="C31" s="509">
        <f>C32</f>
        <v>0</v>
      </c>
      <c r="D31" s="509">
        <f>D32</f>
        <v>0</v>
      </c>
      <c r="E31" s="509"/>
      <c r="F31" s="1018">
        <f>F32</f>
        <v>0</v>
      </c>
      <c r="G31" s="1018">
        <f>G32</f>
        <v>0</v>
      </c>
      <c r="H31" s="1018">
        <v>0</v>
      </c>
      <c r="I31" s="509"/>
      <c r="J31" s="237" t="e">
        <f>G31/D31%</f>
        <v>#DIV/0!</v>
      </c>
      <c r="K31" s="134"/>
      <c r="L31" s="1004"/>
      <c r="M31" s="1005"/>
    </row>
    <row r="32" spans="1:33" s="119" customFormat="1" ht="19.5" hidden="1" customHeight="1" x14ac:dyDescent="0.2">
      <c r="A32" s="108" t="s">
        <v>514</v>
      </c>
      <c r="B32" s="101" t="s">
        <v>535</v>
      </c>
      <c r="C32" s="158">
        <f>SUM(D32:E32)</f>
        <v>0</v>
      </c>
      <c r="D32" s="158"/>
      <c r="E32" s="158"/>
      <c r="F32" s="1028">
        <f>SUM(G32:H32)</f>
        <v>0</v>
      </c>
      <c r="G32" s="1028">
        <v>0</v>
      </c>
      <c r="H32" s="1028">
        <v>0</v>
      </c>
      <c r="I32" s="158"/>
      <c r="J32" s="237" t="e">
        <f>G32/D32%</f>
        <v>#DIV/0!</v>
      </c>
      <c r="K32" s="122"/>
      <c r="L32" s="256"/>
    </row>
    <row r="33" spans="1:15" s="989" customFormat="1" ht="28.5" hidden="1" customHeight="1" x14ac:dyDescent="0.25">
      <c r="A33" s="109">
        <v>5</v>
      </c>
      <c r="B33" s="515" t="s">
        <v>637</v>
      </c>
      <c r="C33" s="509">
        <f>C34</f>
        <v>0</v>
      </c>
      <c r="D33" s="509">
        <f>D34</f>
        <v>0</v>
      </c>
      <c r="E33" s="509"/>
      <c r="F33" s="1018">
        <f>F34</f>
        <v>0</v>
      </c>
      <c r="G33" s="1018">
        <f>G34</f>
        <v>0</v>
      </c>
      <c r="H33" s="1018"/>
      <c r="I33" s="509"/>
      <c r="J33" s="237" t="e">
        <f>G33/D33%</f>
        <v>#DIV/0!</v>
      </c>
      <c r="K33" s="134"/>
      <c r="L33" s="1004"/>
      <c r="M33" s="1005"/>
    </row>
    <row r="34" spans="1:15" s="119" customFormat="1" ht="2.4500000000000002" hidden="1" customHeight="1" x14ac:dyDescent="0.2">
      <c r="A34" s="826" t="s">
        <v>514</v>
      </c>
      <c r="B34" s="171" t="s">
        <v>535</v>
      </c>
      <c r="C34" s="160">
        <f>SUM(D34:E34)</f>
        <v>0</v>
      </c>
      <c r="D34" s="160"/>
      <c r="E34" s="160"/>
      <c r="F34" s="1030">
        <f>SUM(G34:H34)</f>
        <v>0</v>
      </c>
      <c r="G34" s="1030">
        <v>0</v>
      </c>
      <c r="H34" s="1030"/>
      <c r="I34" s="160"/>
      <c r="J34" s="237" t="e">
        <f>G34/D34%</f>
        <v>#DIV/0!</v>
      </c>
      <c r="K34" s="118"/>
      <c r="L34" s="256"/>
    </row>
    <row r="35" spans="1:15" s="999" customFormat="1" ht="24.75" customHeight="1" x14ac:dyDescent="0.2">
      <c r="A35" s="169" t="s">
        <v>11</v>
      </c>
      <c r="B35" s="170" t="s">
        <v>537</v>
      </c>
      <c r="C35" s="875">
        <f>SUM(D35:E35)</f>
        <v>2947.4</v>
      </c>
      <c r="D35" s="875">
        <f>D36+D38</f>
        <v>1340</v>
      </c>
      <c r="E35" s="875">
        <f>E36+E38</f>
        <v>1607.4</v>
      </c>
      <c r="F35" s="875">
        <f>F38</f>
        <v>34328.484387999997</v>
      </c>
      <c r="G35" s="875">
        <f>G36+G38</f>
        <v>28720.886232000001</v>
      </c>
      <c r="H35" s="875">
        <f>H36+H38</f>
        <v>5607.5981560000009</v>
      </c>
      <c r="I35" s="787">
        <f>F35/C35%</f>
        <v>1164.703955621904</v>
      </c>
      <c r="J35" s="787">
        <f>G35/D35%</f>
        <v>2143.34971880597</v>
      </c>
      <c r="K35" s="132"/>
      <c r="L35" s="1007"/>
    </row>
    <row r="36" spans="1:15" s="999" customFormat="1" ht="24" customHeight="1" x14ac:dyDescent="0.2">
      <c r="A36" s="169">
        <v>1</v>
      </c>
      <c r="B36" s="170" t="s">
        <v>609</v>
      </c>
      <c r="C36" s="1014">
        <f>C37</f>
        <v>700</v>
      </c>
      <c r="D36" s="1014">
        <f>D37</f>
        <v>700</v>
      </c>
      <c r="E36" s="1014">
        <f>E37</f>
        <v>0</v>
      </c>
      <c r="F36" s="1014">
        <f>G36+H36</f>
        <v>0</v>
      </c>
      <c r="G36" s="875">
        <f>G37</f>
        <v>0</v>
      </c>
      <c r="H36" s="875">
        <f>H37</f>
        <v>0</v>
      </c>
      <c r="I36" s="787"/>
      <c r="J36" s="787"/>
      <c r="K36" s="132"/>
      <c r="L36" s="1008"/>
    </row>
    <row r="37" spans="1:15" s="119" customFormat="1" ht="24.75" customHeight="1" x14ac:dyDescent="0.2">
      <c r="A37" s="458"/>
      <c r="B37" s="405" t="s">
        <v>742</v>
      </c>
      <c r="C37" s="1031">
        <f>D37+E37</f>
        <v>700</v>
      </c>
      <c r="D37" s="1031">
        <v>700</v>
      </c>
      <c r="E37" s="1031"/>
      <c r="F37" s="1032">
        <f>G37+H37</f>
        <v>0</v>
      </c>
      <c r="G37" s="1032"/>
      <c r="H37" s="1032"/>
      <c r="I37" s="1065"/>
      <c r="J37" s="1065"/>
      <c r="K37" s="368"/>
      <c r="L37" s="320"/>
      <c r="O37" s="125"/>
    </row>
    <row r="38" spans="1:15" s="999" customFormat="1" ht="27" customHeight="1" x14ac:dyDescent="0.2">
      <c r="A38" s="169">
        <v>2</v>
      </c>
      <c r="B38" s="170" t="s">
        <v>535</v>
      </c>
      <c r="C38" s="1014">
        <f t="shared" ref="C38:D38" si="4">SUM(C39:C46)</f>
        <v>2267.4</v>
      </c>
      <c r="D38" s="1014">
        <f t="shared" si="4"/>
        <v>640</v>
      </c>
      <c r="E38" s="1014">
        <f>SUM(E39:E46)</f>
        <v>1607.4</v>
      </c>
      <c r="F38" s="1014">
        <f>SUM(F39:F57)</f>
        <v>34328.484387999997</v>
      </c>
      <c r="G38" s="1014">
        <f>SUM(G39:G57)</f>
        <v>28720.886232000001</v>
      </c>
      <c r="H38" s="1014">
        <f>SUM(H39:H57)</f>
        <v>5607.5981560000009</v>
      </c>
      <c r="I38" s="787">
        <f>F38/C38%</f>
        <v>1514.0021340742701</v>
      </c>
      <c r="J38" s="787">
        <f>G38/D38%</f>
        <v>4487.6384737500002</v>
      </c>
      <c r="K38" s="132"/>
      <c r="L38" s="1008"/>
    </row>
    <row r="39" spans="1:15" s="999" customFormat="1" ht="24" customHeight="1" x14ac:dyDescent="0.2">
      <c r="A39" s="460" t="s">
        <v>43</v>
      </c>
      <c r="B39" s="1033" t="s">
        <v>695</v>
      </c>
      <c r="C39" s="1034">
        <v>716</v>
      </c>
      <c r="D39" s="1034"/>
      <c r="E39" s="1034">
        <v>716</v>
      </c>
      <c r="F39" s="1034">
        <f>SUM(G39:H39)</f>
        <v>516.44401199999993</v>
      </c>
      <c r="G39" s="1035"/>
      <c r="H39" s="1036">
        <f>E39-199.555988</f>
        <v>516.44401199999993</v>
      </c>
      <c r="I39" s="461"/>
      <c r="J39" s="461"/>
      <c r="K39" s="192"/>
      <c r="L39" s="1009"/>
    </row>
    <row r="40" spans="1:15" s="1010" customFormat="1" ht="18" customHeight="1" x14ac:dyDescent="0.2">
      <c r="A40" s="108" t="s">
        <v>44</v>
      </c>
      <c r="B40" s="153" t="s">
        <v>696</v>
      </c>
      <c r="C40" s="1028">
        <v>257.39999999999998</v>
      </c>
      <c r="D40" s="1038"/>
      <c r="E40" s="1037">
        <v>257.39999999999998</v>
      </c>
      <c r="F40" s="1039">
        <f>SUM(G40:H40)</f>
        <v>257.39999999999998</v>
      </c>
      <c r="G40" s="1028"/>
      <c r="H40" s="1028">
        <f t="shared" ref="H40:H44" si="5">E40</f>
        <v>257.39999999999998</v>
      </c>
      <c r="I40" s="158"/>
      <c r="J40" s="158"/>
      <c r="K40" s="122"/>
    </row>
    <row r="41" spans="1:15" s="119" customFormat="1" ht="23.25" customHeight="1" x14ac:dyDescent="0.2">
      <c r="A41" s="108" t="s">
        <v>51</v>
      </c>
      <c r="B41" s="315" t="s">
        <v>647</v>
      </c>
      <c r="C41" s="1028">
        <v>64</v>
      </c>
      <c r="D41" s="1038"/>
      <c r="E41" s="1037">
        <v>64</v>
      </c>
      <c r="F41" s="1039">
        <f t="shared" ref="F41" si="6">SUM(G41:H41)</f>
        <v>64</v>
      </c>
      <c r="G41" s="1028"/>
      <c r="H41" s="1028">
        <f t="shared" si="5"/>
        <v>64</v>
      </c>
      <c r="I41" s="158"/>
      <c r="J41" s="158"/>
      <c r="K41" s="122"/>
    </row>
    <row r="42" spans="1:15" s="119" customFormat="1" ht="23.25" customHeight="1" x14ac:dyDescent="0.2">
      <c r="A42" s="108" t="s">
        <v>130</v>
      </c>
      <c r="B42" s="153" t="s">
        <v>743</v>
      </c>
      <c r="C42" s="1028">
        <v>260</v>
      </c>
      <c r="D42" s="1038"/>
      <c r="E42" s="1037">
        <v>260</v>
      </c>
      <c r="F42" s="1039">
        <f t="shared" ref="F42:F45" si="7">SUM(G42:H42)</f>
        <v>260</v>
      </c>
      <c r="G42" s="1028"/>
      <c r="H42" s="1028">
        <f t="shared" si="5"/>
        <v>260</v>
      </c>
      <c r="I42" s="158"/>
      <c r="J42" s="158"/>
      <c r="K42" s="122"/>
    </row>
    <row r="43" spans="1:15" s="119" customFormat="1" ht="22.5" customHeight="1" x14ac:dyDescent="0.2">
      <c r="A43" s="108" t="s">
        <v>131</v>
      </c>
      <c r="B43" s="316" t="s">
        <v>697</v>
      </c>
      <c r="C43" s="1028">
        <v>160</v>
      </c>
      <c r="D43" s="1038"/>
      <c r="E43" s="1037">
        <v>160</v>
      </c>
      <c r="F43" s="1039">
        <f t="shared" si="7"/>
        <v>160</v>
      </c>
      <c r="G43" s="1028"/>
      <c r="H43" s="1028">
        <f t="shared" si="5"/>
        <v>160</v>
      </c>
      <c r="I43" s="158"/>
      <c r="J43" s="158"/>
      <c r="K43" s="122"/>
    </row>
    <row r="44" spans="1:15" s="119" customFormat="1" ht="22.5" customHeight="1" x14ac:dyDescent="0.2">
      <c r="A44" s="108" t="s">
        <v>132</v>
      </c>
      <c r="B44" s="1040" t="s">
        <v>744</v>
      </c>
      <c r="C44" s="1028">
        <v>150</v>
      </c>
      <c r="D44" s="1038"/>
      <c r="E44" s="1037">
        <v>150</v>
      </c>
      <c r="F44" s="1039">
        <f t="shared" si="7"/>
        <v>150</v>
      </c>
      <c r="G44" s="1028"/>
      <c r="H44" s="1028">
        <f t="shared" si="5"/>
        <v>150</v>
      </c>
      <c r="I44" s="158"/>
      <c r="J44" s="158"/>
      <c r="K44" s="122"/>
    </row>
    <row r="45" spans="1:15" s="119" customFormat="1" ht="30" customHeight="1" x14ac:dyDescent="0.2">
      <c r="A45" s="108" t="s">
        <v>133</v>
      </c>
      <c r="B45" s="1040" t="s">
        <v>698</v>
      </c>
      <c r="C45" s="158">
        <v>500</v>
      </c>
      <c r="D45" s="1039">
        <f>C45</f>
        <v>500</v>
      </c>
      <c r="E45" s="1037"/>
      <c r="F45" s="1039">
        <f t="shared" si="7"/>
        <v>500</v>
      </c>
      <c r="G45" s="1028">
        <v>500</v>
      </c>
      <c r="H45" s="1028"/>
      <c r="I45" s="158"/>
      <c r="J45" s="158"/>
      <c r="K45" s="122"/>
    </row>
    <row r="46" spans="1:15" s="119" customFormat="1" ht="24.75" customHeight="1" x14ac:dyDescent="0.2">
      <c r="A46" s="108" t="s">
        <v>134</v>
      </c>
      <c r="B46" s="1040" t="s">
        <v>741</v>
      </c>
      <c r="C46" s="158">
        <v>160</v>
      </c>
      <c r="D46" s="1039">
        <v>140</v>
      </c>
      <c r="E46" s="1037"/>
      <c r="F46" s="1039">
        <f>SUM(G46:H46)</f>
        <v>140</v>
      </c>
      <c r="G46" s="1028">
        <v>140</v>
      </c>
      <c r="H46" s="1028"/>
      <c r="I46" s="158"/>
      <c r="J46" s="158"/>
      <c r="K46" s="122"/>
    </row>
    <row r="47" spans="1:15" s="119" customFormat="1" ht="32.25" customHeight="1" x14ac:dyDescent="0.2">
      <c r="A47" s="108" t="s">
        <v>909</v>
      </c>
      <c r="B47" s="101" t="s">
        <v>726</v>
      </c>
      <c r="C47" s="158"/>
      <c r="D47" s="1038"/>
      <c r="E47" s="1037"/>
      <c r="F47" s="1039">
        <f t="shared" ref="F47:F57" si="8">SUM(G47:H47)</f>
        <v>1421.4270000000001</v>
      </c>
      <c r="G47" s="1028"/>
      <c r="H47" s="1028">
        <f>18.467+1402.96</f>
        <v>1421.4270000000001</v>
      </c>
      <c r="I47" s="158"/>
      <c r="J47" s="158"/>
      <c r="K47" s="122"/>
    </row>
    <row r="48" spans="1:15" s="119" customFormat="1" ht="27" customHeight="1" x14ac:dyDescent="0.2">
      <c r="A48" s="108" t="s">
        <v>910</v>
      </c>
      <c r="B48" s="315" t="s">
        <v>907</v>
      </c>
      <c r="C48" s="158"/>
      <c r="D48" s="1038"/>
      <c r="E48" s="1037"/>
      <c r="F48" s="1039">
        <f t="shared" si="8"/>
        <v>23.467500000000001</v>
      </c>
      <c r="G48" s="1028"/>
      <c r="H48" s="1028">
        <v>23.467500000000001</v>
      </c>
      <c r="I48" s="158"/>
      <c r="J48" s="158"/>
      <c r="K48" s="122"/>
    </row>
    <row r="49" spans="1:101" s="119" customFormat="1" ht="30.75" customHeight="1" x14ac:dyDescent="0.2">
      <c r="A49" s="108" t="s">
        <v>911</v>
      </c>
      <c r="B49" s="153" t="s">
        <v>847</v>
      </c>
      <c r="C49" s="158"/>
      <c r="D49" s="1038"/>
      <c r="E49" s="1037"/>
      <c r="F49" s="1039">
        <f t="shared" si="8"/>
        <v>630.20000000000005</v>
      </c>
      <c r="G49" s="1028">
        <v>630.20000000000005</v>
      </c>
      <c r="H49" s="1028"/>
      <c r="I49" s="158"/>
      <c r="J49" s="158"/>
      <c r="K49" s="122"/>
    </row>
    <row r="50" spans="1:101" s="119" customFormat="1" ht="24.75" customHeight="1" x14ac:dyDescent="0.2">
      <c r="A50" s="108" t="s">
        <v>912</v>
      </c>
      <c r="B50" s="364" t="s">
        <v>885</v>
      </c>
      <c r="C50" s="158"/>
      <c r="D50" s="1038"/>
      <c r="E50" s="1037"/>
      <c r="F50" s="1039">
        <f t="shared" si="8"/>
        <v>309.17587700000001</v>
      </c>
      <c r="G50" s="1028">
        <v>309.17587700000001</v>
      </c>
      <c r="H50" s="1028"/>
      <c r="I50" s="158"/>
      <c r="J50" s="158"/>
      <c r="K50" s="122"/>
    </row>
    <row r="51" spans="1:101" s="119" customFormat="1" ht="19.5" customHeight="1" x14ac:dyDescent="0.2">
      <c r="A51" s="108" t="s">
        <v>913</v>
      </c>
      <c r="B51" s="315" t="s">
        <v>846</v>
      </c>
      <c r="C51" s="158"/>
      <c r="D51" s="1038"/>
      <c r="E51" s="1037"/>
      <c r="F51" s="1039">
        <f t="shared" si="8"/>
        <v>53.887799999999984</v>
      </c>
      <c r="G51" s="1028">
        <v>53.887799999999984</v>
      </c>
      <c r="H51" s="1028"/>
      <c r="I51" s="158"/>
      <c r="J51" s="158"/>
      <c r="K51" s="122"/>
    </row>
    <row r="52" spans="1:101" s="119" customFormat="1" ht="20.25" customHeight="1" x14ac:dyDescent="0.2">
      <c r="A52" s="108" t="s">
        <v>914</v>
      </c>
      <c r="B52" s="315" t="s">
        <v>842</v>
      </c>
      <c r="C52" s="158"/>
      <c r="D52" s="1038"/>
      <c r="E52" s="1037"/>
      <c r="F52" s="1028">
        <f t="shared" si="8"/>
        <v>1399.730644</v>
      </c>
      <c r="G52" s="1028">
        <f>1399.730644-H52</f>
        <v>1288.971</v>
      </c>
      <c r="H52" s="1028">
        <v>110.75964399999999</v>
      </c>
      <c r="I52" s="158"/>
      <c r="J52" s="158"/>
      <c r="K52" s="122"/>
    </row>
    <row r="53" spans="1:101" s="119" customFormat="1" ht="33.75" customHeight="1" x14ac:dyDescent="0.2">
      <c r="A53" s="108" t="s">
        <v>915</v>
      </c>
      <c r="B53" s="153" t="s">
        <v>839</v>
      </c>
      <c r="C53" s="158"/>
      <c r="D53" s="1038"/>
      <c r="E53" s="1037"/>
      <c r="F53" s="1039">
        <f t="shared" si="8"/>
        <v>2207</v>
      </c>
      <c r="G53" s="1028"/>
      <c r="H53" s="1028">
        <v>2207</v>
      </c>
      <c r="I53" s="158"/>
      <c r="J53" s="158"/>
      <c r="K53" s="122"/>
    </row>
    <row r="54" spans="1:101" s="119" customFormat="1" ht="34.5" customHeight="1" x14ac:dyDescent="0.2">
      <c r="A54" s="108" t="s">
        <v>916</v>
      </c>
      <c r="B54" s="315" t="s">
        <v>840</v>
      </c>
      <c r="C54" s="158"/>
      <c r="D54" s="1038"/>
      <c r="E54" s="1037"/>
      <c r="F54" s="1039">
        <f t="shared" si="8"/>
        <v>416.642</v>
      </c>
      <c r="G54" s="1041">
        <v>416.642</v>
      </c>
      <c r="H54" s="1028"/>
      <c r="I54" s="158"/>
      <c r="J54" s="158"/>
      <c r="K54" s="122"/>
    </row>
    <row r="55" spans="1:101" s="119" customFormat="1" ht="30" customHeight="1" x14ac:dyDescent="0.2">
      <c r="A55" s="108" t="s">
        <v>917</v>
      </c>
      <c r="B55" s="315" t="s">
        <v>843</v>
      </c>
      <c r="C55" s="158"/>
      <c r="D55" s="1038"/>
      <c r="E55" s="1037"/>
      <c r="F55" s="1039">
        <f t="shared" si="8"/>
        <v>2401.7510000000002</v>
      </c>
      <c r="G55" s="1028">
        <v>2401.7510000000002</v>
      </c>
      <c r="H55" s="1028"/>
      <c r="I55" s="158"/>
      <c r="J55" s="158"/>
      <c r="K55" s="122"/>
    </row>
    <row r="56" spans="1:101" s="119" customFormat="1" ht="20.25" customHeight="1" x14ac:dyDescent="0.2">
      <c r="A56" s="108" t="s">
        <v>918</v>
      </c>
      <c r="B56" s="964" t="s">
        <v>908</v>
      </c>
      <c r="C56" s="158"/>
      <c r="D56" s="1038"/>
      <c r="E56" s="1037"/>
      <c r="F56" s="1039">
        <f t="shared" si="8"/>
        <v>4638.3585549999998</v>
      </c>
      <c r="G56" s="1041">
        <f>4638.358555-H56</f>
        <v>4336.3585549999998</v>
      </c>
      <c r="H56" s="1028">
        <v>302</v>
      </c>
      <c r="I56" s="158"/>
      <c r="J56" s="158"/>
      <c r="K56" s="122"/>
    </row>
    <row r="57" spans="1:101" s="119" customFormat="1" ht="18" customHeight="1" x14ac:dyDescent="0.2">
      <c r="A57" s="826" t="s">
        <v>919</v>
      </c>
      <c r="B57" s="962" t="s">
        <v>920</v>
      </c>
      <c r="C57" s="160"/>
      <c r="D57" s="1042"/>
      <c r="E57" s="1043"/>
      <c r="F57" s="1044">
        <f t="shared" si="8"/>
        <v>18779</v>
      </c>
      <c r="G57" s="1030">
        <f>18779-H57</f>
        <v>18643.900000000001</v>
      </c>
      <c r="H57" s="1030">
        <f>130.1+5</f>
        <v>135.1</v>
      </c>
      <c r="I57" s="160"/>
      <c r="J57" s="160"/>
      <c r="K57" s="118"/>
    </row>
    <row r="58" spans="1:101" s="999" customFormat="1" ht="25.5" customHeight="1" x14ac:dyDescent="0.2">
      <c r="A58" s="169" t="s">
        <v>45</v>
      </c>
      <c r="B58" s="105" t="s">
        <v>434</v>
      </c>
      <c r="C58" s="239"/>
      <c r="D58" s="239"/>
      <c r="E58" s="239"/>
      <c r="F58" s="1014">
        <f>SUM(G58:H58)</f>
        <v>36659241.707000002</v>
      </c>
      <c r="G58" s="875">
        <f>'60_TT342'!G16</f>
        <v>0</v>
      </c>
      <c r="H58" s="875">
        <f>'62_TT342'!G77</f>
        <v>36659241.707000002</v>
      </c>
      <c r="I58" s="239"/>
      <c r="J58" s="239"/>
      <c r="K58" s="984"/>
    </row>
    <row r="61" spans="1:101" x14ac:dyDescent="0.2">
      <c r="D61" s="222"/>
    </row>
    <row r="62" spans="1:101" x14ac:dyDescent="0.2">
      <c r="CW62" s="855" t="s">
        <v>666</v>
      </c>
    </row>
    <row r="64" spans="1:101" x14ac:dyDescent="0.2">
      <c r="D64" s="222"/>
    </row>
  </sheetData>
  <mergeCells count="10">
    <mergeCell ref="A1:C1"/>
    <mergeCell ref="A2:K2"/>
    <mergeCell ref="A5:A6"/>
    <mergeCell ref="B5:B6"/>
    <mergeCell ref="C5:C6"/>
    <mergeCell ref="D5:E5"/>
    <mergeCell ref="F5:F6"/>
    <mergeCell ref="G5:H5"/>
    <mergeCell ref="I5:K5"/>
    <mergeCell ref="A3:K3"/>
  </mergeCells>
  <phoneticPr fontId="70" type="noConversion"/>
  <printOptions horizontalCentered="1"/>
  <pageMargins left="0.51181102362204722" right="0.51181102362204722" top="0.35433070866141736" bottom="0.39370078740157483" header="0.31496062992125984" footer="0.31496062992125984"/>
  <pageSetup paperSize="9" scale="65" firstPageNumber="22" orientation="portrait" useFirstPageNumber="1" r:id="rId1"/>
  <headerFooter>
    <oddHeader>&amp;RBiểu số 5.6</oddHeader>
    <oddFooter>Page &amp;P</oddFooter>
  </headerFooter>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1:AA43"/>
  <sheetViews>
    <sheetView view="pageBreakPreview" zoomScale="90" zoomScaleNormal="90" zoomScaleSheetLayoutView="90" workbookViewId="0">
      <pane xSplit="2" ySplit="9" topLeftCell="C10" activePane="bottomRight" state="frozen"/>
      <selection pane="topRight" activeCell="C1" sqref="C1"/>
      <selection pane="bottomLeft" activeCell="A10" sqref="A10"/>
      <selection pane="bottomRight" activeCell="B38" sqref="B38"/>
    </sheetView>
  </sheetViews>
  <sheetFormatPr defaultColWidth="9.140625" defaultRowHeight="15" x14ac:dyDescent="0.25"/>
  <cols>
    <col min="1" max="1" width="4.85546875" style="36" customWidth="1"/>
    <col min="2" max="2" width="26.7109375" style="1635" customWidth="1"/>
    <col min="3" max="3" width="14.85546875" style="36" customWidth="1"/>
    <col min="4" max="4" width="13.140625" style="36" customWidth="1"/>
    <col min="5" max="5" width="16.5703125" style="36" customWidth="1"/>
    <col min="6" max="6" width="12" style="36" customWidth="1"/>
    <col min="7" max="7" width="11" style="36" customWidth="1"/>
    <col min="8" max="8" width="12.7109375" style="36" customWidth="1"/>
    <col min="9" max="9" width="14.28515625" style="36" customWidth="1"/>
    <col min="10" max="10" width="13.5703125" style="36" customWidth="1"/>
    <col min="11" max="11" width="15" style="36" customWidth="1"/>
    <col min="12" max="12" width="14.140625" style="36" customWidth="1"/>
    <col min="13" max="13" width="13.85546875" style="36" customWidth="1"/>
    <col min="14" max="14" width="14.28515625" style="36" customWidth="1"/>
    <col min="15" max="15" width="9.140625" style="36" hidden="1" customWidth="1"/>
    <col min="16" max="16" width="8.85546875" style="36" customWidth="1"/>
    <col min="17" max="17" width="6.7109375" style="36" customWidth="1"/>
    <col min="18" max="18" width="9.42578125" style="36" customWidth="1"/>
    <col min="19" max="19" width="4.42578125" style="36" customWidth="1"/>
    <col min="20" max="20" width="5" style="36" customWidth="1"/>
    <col min="21" max="21" width="6.5703125" style="36" customWidth="1"/>
    <col min="22" max="22" width="16.42578125" style="36" hidden="1" customWidth="1"/>
    <col min="23" max="23" width="13.42578125" style="36" hidden="1" customWidth="1"/>
    <col min="24" max="24" width="13.7109375" style="36" hidden="1" customWidth="1"/>
    <col min="25" max="25" width="14.28515625" style="36" hidden="1" customWidth="1"/>
    <col min="26" max="26" width="16.7109375" style="36" hidden="1" customWidth="1"/>
    <col min="27" max="27" width="0" style="36" hidden="1" customWidth="1"/>
    <col min="28" max="16384" width="9.140625" style="36"/>
  </cols>
  <sheetData>
    <row r="1" spans="1:27" s="204" customFormat="1" ht="23.25" customHeight="1" x14ac:dyDescent="0.25">
      <c r="A1" s="3130" t="str">
        <f>'48_NĐ31'!A1</f>
        <v xml:space="preserve">UBND PHƯỜNG BẮC KẠN </v>
      </c>
      <c r="B1" s="3130"/>
      <c r="C1" s="3130"/>
      <c r="D1" s="3130"/>
      <c r="R1" s="3129" t="s">
        <v>965</v>
      </c>
      <c r="S1" s="3129"/>
      <c r="T1" s="3129"/>
      <c r="U1" s="3129"/>
    </row>
    <row r="2" spans="1:27" ht="21" hidden="1" customHeight="1" x14ac:dyDescent="0.25">
      <c r="A2" s="3129" t="s">
        <v>1526</v>
      </c>
      <c r="B2" s="3129"/>
      <c r="C2" s="3129"/>
      <c r="D2" s="3129"/>
      <c r="E2" s="3129"/>
      <c r="F2" s="3129"/>
      <c r="G2" s="3129"/>
      <c r="H2" s="3129"/>
      <c r="I2" s="3129"/>
      <c r="J2" s="3129"/>
      <c r="K2" s="3129"/>
      <c r="L2" s="3129"/>
      <c r="M2" s="3129"/>
      <c r="N2" s="3129"/>
      <c r="O2" s="3129"/>
      <c r="P2" s="3129"/>
      <c r="Q2" s="3129"/>
      <c r="R2" s="3129"/>
      <c r="S2" s="3129"/>
      <c r="T2" s="3129"/>
      <c r="U2" s="3129"/>
    </row>
    <row r="3" spans="1:27" ht="21" customHeight="1" x14ac:dyDescent="0.25">
      <c r="A3" s="3132" t="s">
        <v>1972</v>
      </c>
      <c r="B3" s="3132"/>
      <c r="C3" s="3132"/>
      <c r="D3" s="3132"/>
      <c r="E3" s="3132"/>
      <c r="F3" s="3132"/>
      <c r="G3" s="3132"/>
      <c r="H3" s="3132"/>
      <c r="I3" s="3132"/>
      <c r="J3" s="3132"/>
      <c r="K3" s="3132"/>
      <c r="L3" s="3132"/>
      <c r="M3" s="3132"/>
      <c r="N3" s="3132"/>
      <c r="O3" s="3132"/>
      <c r="P3" s="3132"/>
      <c r="Q3" s="3132"/>
      <c r="R3" s="3132"/>
      <c r="S3" s="3132"/>
      <c r="T3" s="3132"/>
      <c r="U3" s="3132"/>
    </row>
    <row r="4" spans="1:27" ht="21" customHeight="1" x14ac:dyDescent="0.25">
      <c r="A4" s="3133" t="str">
        <f>'48_NĐ31'!A4:G4</f>
        <v>(Kèm theo Quyết định số          /QĐ-UBND ngày          /4/2026 của UBND phường Bắc Kạn)</v>
      </c>
      <c r="B4" s="3133"/>
      <c r="C4" s="3133"/>
      <c r="D4" s="3133"/>
      <c r="E4" s="3133"/>
      <c r="F4" s="3133"/>
      <c r="G4" s="3133"/>
      <c r="H4" s="3133"/>
      <c r="I4" s="3133"/>
      <c r="J4" s="3133"/>
      <c r="K4" s="3133"/>
      <c r="L4" s="3133"/>
      <c r="M4" s="3133"/>
      <c r="N4" s="3133"/>
      <c r="O4" s="3133"/>
      <c r="P4" s="3133"/>
      <c r="Q4" s="3133"/>
      <c r="R4" s="3133"/>
      <c r="S4" s="3133"/>
      <c r="T4" s="3133"/>
      <c r="U4" s="3133"/>
    </row>
    <row r="5" spans="1:27" ht="22.5" customHeight="1" x14ac:dyDescent="0.25">
      <c r="C5" s="357"/>
      <c r="D5" s="46"/>
      <c r="I5" s="46"/>
      <c r="J5" s="357"/>
      <c r="K5" s="46"/>
      <c r="L5" s="1807"/>
      <c r="M5" s="2006"/>
      <c r="N5" s="1359"/>
      <c r="R5" s="3154" t="s">
        <v>1187</v>
      </c>
      <c r="S5" s="3154"/>
      <c r="T5" s="3154"/>
      <c r="U5" s="3154"/>
    </row>
    <row r="6" spans="1:27" s="119" customFormat="1" ht="23.25" customHeight="1" x14ac:dyDescent="0.2">
      <c r="A6" s="3149" t="s">
        <v>0</v>
      </c>
      <c r="B6" s="3149" t="s">
        <v>52</v>
      </c>
      <c r="C6" s="3155" t="s">
        <v>596</v>
      </c>
      <c r="D6" s="3156"/>
      <c r="E6" s="3156"/>
      <c r="F6" s="3156"/>
      <c r="G6" s="3156"/>
      <c r="H6" s="3157"/>
      <c r="I6" s="3149" t="s">
        <v>400</v>
      </c>
      <c r="J6" s="3149"/>
      <c r="K6" s="3149"/>
      <c r="L6" s="3149"/>
      <c r="M6" s="3149"/>
      <c r="N6" s="3149"/>
      <c r="O6" s="3149"/>
      <c r="P6" s="3149" t="s">
        <v>414</v>
      </c>
      <c r="Q6" s="3149"/>
      <c r="R6" s="3149"/>
      <c r="S6" s="3149"/>
      <c r="T6" s="3149"/>
      <c r="U6" s="3149"/>
    </row>
    <row r="7" spans="1:27" s="119" customFormat="1" ht="26.25" customHeight="1" x14ac:dyDescent="0.2">
      <c r="A7" s="3149"/>
      <c r="B7" s="3149"/>
      <c r="C7" s="3149" t="s">
        <v>13</v>
      </c>
      <c r="D7" s="3149" t="s">
        <v>1527</v>
      </c>
      <c r="E7" s="3149" t="s">
        <v>1528</v>
      </c>
      <c r="F7" s="3149" t="s">
        <v>442</v>
      </c>
      <c r="G7" s="3149"/>
      <c r="H7" s="3149"/>
      <c r="I7" s="3149" t="s">
        <v>13</v>
      </c>
      <c r="J7" s="3149" t="s">
        <v>1527</v>
      </c>
      <c r="K7" s="3149" t="s">
        <v>1528</v>
      </c>
      <c r="L7" s="3149" t="s">
        <v>442</v>
      </c>
      <c r="M7" s="3149"/>
      <c r="N7" s="3149"/>
      <c r="O7" s="3149" t="s">
        <v>443</v>
      </c>
      <c r="P7" s="3149" t="s">
        <v>13</v>
      </c>
      <c r="Q7" s="3149" t="s">
        <v>27</v>
      </c>
      <c r="R7" s="3149" t="s">
        <v>28</v>
      </c>
      <c r="S7" s="3149" t="s">
        <v>442</v>
      </c>
      <c r="T7" s="3149"/>
      <c r="U7" s="3149"/>
    </row>
    <row r="8" spans="1:27" s="119" customFormat="1" ht="67.150000000000006" customHeight="1" x14ac:dyDescent="0.2">
      <c r="A8" s="3149"/>
      <c r="B8" s="3149"/>
      <c r="C8" s="3149"/>
      <c r="D8" s="3149"/>
      <c r="E8" s="3149"/>
      <c r="F8" s="130" t="s">
        <v>13</v>
      </c>
      <c r="G8" s="130" t="s">
        <v>27</v>
      </c>
      <c r="H8" s="130" t="s">
        <v>28</v>
      </c>
      <c r="I8" s="3149"/>
      <c r="J8" s="3149"/>
      <c r="K8" s="3149"/>
      <c r="L8" s="130" t="s">
        <v>13</v>
      </c>
      <c r="M8" s="130" t="s">
        <v>27</v>
      </c>
      <c r="N8" s="130" t="s">
        <v>28</v>
      </c>
      <c r="O8" s="3149"/>
      <c r="P8" s="3149"/>
      <c r="Q8" s="3149"/>
      <c r="R8" s="3149"/>
      <c r="S8" s="130" t="s">
        <v>13</v>
      </c>
      <c r="T8" s="130" t="s">
        <v>27</v>
      </c>
      <c r="U8" s="130" t="s">
        <v>28</v>
      </c>
      <c r="X8" s="125"/>
    </row>
    <row r="9" spans="1:27" s="119" customFormat="1" ht="20.25" customHeight="1" x14ac:dyDescent="0.2">
      <c r="A9" s="210" t="s">
        <v>3</v>
      </c>
      <c r="B9" s="210" t="s">
        <v>4</v>
      </c>
      <c r="C9" s="210">
        <v>1</v>
      </c>
      <c r="D9" s="210">
        <v>2</v>
      </c>
      <c r="E9" s="210">
        <v>3</v>
      </c>
      <c r="F9" s="210">
        <v>4</v>
      </c>
      <c r="G9" s="210">
        <v>5</v>
      </c>
      <c r="H9" s="210">
        <v>6</v>
      </c>
      <c r="I9" s="210">
        <v>7</v>
      </c>
      <c r="J9" s="210">
        <v>8</v>
      </c>
      <c r="K9" s="210">
        <v>9</v>
      </c>
      <c r="L9" s="210">
        <v>10</v>
      </c>
      <c r="M9" s="210">
        <v>11</v>
      </c>
      <c r="N9" s="210">
        <v>12</v>
      </c>
      <c r="O9" s="210">
        <v>13</v>
      </c>
      <c r="P9" s="210">
        <v>13</v>
      </c>
      <c r="Q9" s="210">
        <v>14</v>
      </c>
      <c r="R9" s="210">
        <v>15</v>
      </c>
      <c r="S9" s="358">
        <v>16</v>
      </c>
      <c r="T9" s="358">
        <v>17</v>
      </c>
      <c r="U9" s="358">
        <v>18</v>
      </c>
      <c r="V9" s="119">
        <f>'62_NĐ31'!M10</f>
        <v>23185254.901000001</v>
      </c>
      <c r="W9" s="125">
        <f>V9-J10</f>
        <v>286784.97399999946</v>
      </c>
      <c r="X9" s="125">
        <f>'62_TT342'!F60</f>
        <v>13303605.6</v>
      </c>
      <c r="Z9" s="256"/>
      <c r="AA9" s="256"/>
    </row>
    <row r="10" spans="1:27" s="44" customFormat="1" ht="25.5" customHeight="1" x14ac:dyDescent="0.2">
      <c r="A10" s="1652"/>
      <c r="B10" s="1652" t="s">
        <v>29</v>
      </c>
      <c r="C10" s="2273">
        <f>SUM(C11:C31)</f>
        <v>339987783.417</v>
      </c>
      <c r="D10" s="2273">
        <f t="shared" ref="D10:O10" si="0">SUM(D11:D31)</f>
        <v>26684335.097999997</v>
      </c>
      <c r="E10" s="2273">
        <f t="shared" si="0"/>
        <v>311382568.24800003</v>
      </c>
      <c r="F10" s="2273">
        <f t="shared" si="0"/>
        <v>1920880.0709999998</v>
      </c>
      <c r="G10" s="2273">
        <f t="shared" si="0"/>
        <v>343685.27100000001</v>
      </c>
      <c r="H10" s="2273">
        <f t="shared" si="0"/>
        <v>1577194.7999999998</v>
      </c>
      <c r="I10" s="2273">
        <f>SUM(I11:I31)</f>
        <v>327412680.54599994</v>
      </c>
      <c r="J10" s="2273">
        <f t="shared" si="0"/>
        <v>22898469.927000001</v>
      </c>
      <c r="K10" s="2273">
        <f t="shared" si="0"/>
        <v>303053141.92500001</v>
      </c>
      <c r="L10" s="2273">
        <f t="shared" si="0"/>
        <v>1461068.6939999999</v>
      </c>
      <c r="M10" s="2273">
        <f t="shared" si="0"/>
        <v>286784.97399999999</v>
      </c>
      <c r="N10" s="2273">
        <f t="shared" si="0"/>
        <v>1174283.7200000002</v>
      </c>
      <c r="O10" s="1654">
        <f t="shared" si="0"/>
        <v>0</v>
      </c>
      <c r="P10" s="2266">
        <f>I10/C10%</f>
        <v>96.301307433868431</v>
      </c>
      <c r="Q10" s="2093">
        <f>J10/D10%</f>
        <v>85.812405828752503</v>
      </c>
      <c r="R10" s="2266">
        <f>K10/E10%</f>
        <v>97.325018426732839</v>
      </c>
      <c r="S10" s="1654"/>
      <c r="T10" s="1654"/>
      <c r="U10" s="1654"/>
      <c r="V10" s="47">
        <f>'57_NĐ31'!H9</f>
        <v>304227425.64499998</v>
      </c>
      <c r="W10" s="1791">
        <f>'62_TT342'!F9</f>
        <v>14888322.662999999</v>
      </c>
      <c r="X10" s="428">
        <f>W10-I10</f>
        <v>-312524357.88299996</v>
      </c>
      <c r="Z10" s="1792"/>
      <c r="AA10" s="1792"/>
    </row>
    <row r="11" spans="1:27" s="119" customFormat="1" ht="25.5" customHeight="1" x14ac:dyDescent="0.2">
      <c r="A11" s="2265">
        <v>1</v>
      </c>
      <c r="B11" s="1692" t="s">
        <v>516</v>
      </c>
      <c r="C11" s="2274">
        <f>SUM(D11:F11)</f>
        <v>101031192.802</v>
      </c>
      <c r="D11" s="2883">
        <v>0</v>
      </c>
      <c r="E11" s="2274">
        <f>'57_NĐ31'!C10</f>
        <v>100860543.402</v>
      </c>
      <c r="F11" s="2274">
        <f>SUM(G11:H11)</f>
        <v>170649.4</v>
      </c>
      <c r="G11" s="2274"/>
      <c r="H11" s="2274">
        <f>'61_NĐ31'!E13</f>
        <v>170649.4</v>
      </c>
      <c r="I11" s="2274">
        <f t="shared" ref="I11:I16" si="1">SUM(J11:L11,O11)</f>
        <v>100765368.79399998</v>
      </c>
      <c r="J11" s="2883">
        <v>0</v>
      </c>
      <c r="K11" s="2274">
        <f>'57_NĐ31'!H10-'61_NĐ31'!F13</f>
        <v>100594719.39399998</v>
      </c>
      <c r="L11" s="2274">
        <f>SUM(M11:N11)</f>
        <v>170649.4</v>
      </c>
      <c r="M11" s="2274"/>
      <c r="N11" s="2274">
        <f>'61_NĐ31'!H13</f>
        <v>170649.4</v>
      </c>
      <c r="O11" s="1693"/>
      <c r="P11" s="1693">
        <f>I11/C11%</f>
        <v>99.736889171920424</v>
      </c>
      <c r="Q11" s="1693"/>
      <c r="R11" s="1693">
        <f>K11/E11%</f>
        <v>99.736444005719349</v>
      </c>
      <c r="S11" s="1693"/>
      <c r="T11" s="2266"/>
      <c r="U11" s="2266"/>
      <c r="V11" s="125" t="e">
        <f>V10-#REF!</f>
        <v>#REF!</v>
      </c>
      <c r="W11" s="361" t="e">
        <f>'61_NĐ31'!#REF!</f>
        <v>#REF!</v>
      </c>
      <c r="Z11" s="256"/>
      <c r="AA11" s="256"/>
    </row>
    <row r="12" spans="1:27" s="119" customFormat="1" ht="33" customHeight="1" x14ac:dyDescent="0.2">
      <c r="A12" s="2267">
        <v>2</v>
      </c>
      <c r="B12" s="1670" t="s">
        <v>954</v>
      </c>
      <c r="C12" s="2246">
        <f t="shared" ref="C12:C24" si="2">SUM(D12:F12)</f>
        <v>36514192.218999997</v>
      </c>
      <c r="D12" s="2246">
        <f>'55_NĐ31'!C10</f>
        <v>24600658.097999997</v>
      </c>
      <c r="E12" s="2246">
        <f>'57_NĐ31'!C11</f>
        <v>10551631.65</v>
      </c>
      <c r="F12" s="2246">
        <f t="shared" ref="F12:F31" si="3">SUM(G12:H12)</f>
        <v>1361902.4709999999</v>
      </c>
      <c r="G12" s="2246">
        <f>'61_NĐ31'!D15</f>
        <v>343685.27100000001</v>
      </c>
      <c r="H12" s="2246">
        <f>'61_NĐ31'!E15</f>
        <v>1018217.2</v>
      </c>
      <c r="I12" s="2246">
        <f t="shared" si="1"/>
        <v>31941564.230999999</v>
      </c>
      <c r="J12" s="2246">
        <f>'55_NĐ31'!D10-'48_NĐ31'!E31</f>
        <v>22814932.927000001</v>
      </c>
      <c r="K12" s="2246">
        <f>'57_NĐ31'!H11-'61_NĐ31'!H15</f>
        <v>8212683.0299999984</v>
      </c>
      <c r="L12" s="2246">
        <f>SUM(M12:N12)</f>
        <v>913948.27399999998</v>
      </c>
      <c r="M12" s="2246">
        <f>'61_NĐ31'!G15</f>
        <v>286784.97399999999</v>
      </c>
      <c r="N12" s="2246">
        <f>'61_NĐ31'!H15</f>
        <v>627163.30000000005</v>
      </c>
      <c r="O12" s="1679"/>
      <c r="P12" s="1679">
        <f>I12/C12%</f>
        <v>87.477121332508489</v>
      </c>
      <c r="Q12" s="1679">
        <f>J12/D12%</f>
        <v>92.741148777864709</v>
      </c>
      <c r="R12" s="1679">
        <f t="shared" ref="R12:R24" si="4">K12/E12%</f>
        <v>77.833299175109076</v>
      </c>
      <c r="S12" s="1679"/>
      <c r="T12" s="2093"/>
      <c r="U12" s="2093"/>
      <c r="V12" s="125"/>
      <c r="W12" s="125"/>
      <c r="X12" s="125"/>
      <c r="Z12" s="125"/>
    </row>
    <row r="13" spans="1:27" s="119" customFormat="1" ht="25.5" customHeight="1" x14ac:dyDescent="0.2">
      <c r="A13" s="2267">
        <v>3</v>
      </c>
      <c r="B13" s="2268" t="s">
        <v>1495</v>
      </c>
      <c r="C13" s="2246">
        <f>SUM(D13:F13)</f>
        <v>56907914.400000006</v>
      </c>
      <c r="D13" s="2246"/>
      <c r="E13" s="2246">
        <f>'57_NĐ31'!C12</f>
        <v>56519586.200000003</v>
      </c>
      <c r="F13" s="2246">
        <f t="shared" si="3"/>
        <v>388328.2</v>
      </c>
      <c r="G13" s="2246"/>
      <c r="H13" s="2246">
        <f>'61_NĐ31'!E14</f>
        <v>388328.2</v>
      </c>
      <c r="I13" s="2246">
        <f>SUM(J13:L13,O13)</f>
        <v>55827014.185000002</v>
      </c>
      <c r="J13" s="2246"/>
      <c r="K13" s="2246">
        <f>'57_NĐ31'!H12-'61_NĐ31'!H14</f>
        <v>55450543.164999999</v>
      </c>
      <c r="L13" s="2246">
        <f t="shared" ref="L13:L22" si="5">SUM(M13:N13)</f>
        <v>376471.02</v>
      </c>
      <c r="M13" s="2246"/>
      <c r="N13" s="2246">
        <f>'61_NĐ31'!H14</f>
        <v>376471.02</v>
      </c>
      <c r="O13" s="1679"/>
      <c r="P13" s="1679">
        <f>I13/C13%</f>
        <v>98.10061530738507</v>
      </c>
      <c r="Q13" s="1679"/>
      <c r="R13" s="1679">
        <f>K13/E13%</f>
        <v>98.108544122709787</v>
      </c>
      <c r="S13" s="1679"/>
      <c r="T13" s="2093"/>
      <c r="U13" s="2093"/>
      <c r="V13" s="125"/>
      <c r="W13" s="217"/>
    </row>
    <row r="14" spans="1:27" s="119" customFormat="1" ht="32.25" customHeight="1" x14ac:dyDescent="0.2">
      <c r="A14" s="2267">
        <v>4</v>
      </c>
      <c r="B14" s="2268" t="s">
        <v>942</v>
      </c>
      <c r="C14" s="2246">
        <f>SUM(D14:F14)</f>
        <v>3646413.1540000001</v>
      </c>
      <c r="D14" s="2246"/>
      <c r="E14" s="2246">
        <f>'57_NĐ31'!C13</f>
        <v>3646413.1540000001</v>
      </c>
      <c r="F14" s="2285">
        <f t="shared" si="3"/>
        <v>0</v>
      </c>
      <c r="G14" s="2246"/>
      <c r="H14" s="2246"/>
      <c r="I14" s="2246">
        <f t="shared" si="1"/>
        <v>3612232.432</v>
      </c>
      <c r="J14" s="2246"/>
      <c r="K14" s="2246">
        <f>'57_NĐ31'!H13</f>
        <v>3612232.432</v>
      </c>
      <c r="L14" s="2275">
        <f t="shared" si="5"/>
        <v>0</v>
      </c>
      <c r="M14" s="2246"/>
      <c r="N14" s="2246"/>
      <c r="O14" s="1679"/>
      <c r="P14" s="1679">
        <f>I14/C14%</f>
        <v>99.062620702689571</v>
      </c>
      <c r="Q14" s="1679"/>
      <c r="R14" s="1679">
        <f>K14/E14%</f>
        <v>99.062620702689571</v>
      </c>
      <c r="S14" s="1679"/>
      <c r="T14" s="2093"/>
      <c r="U14" s="2093"/>
    </row>
    <row r="15" spans="1:27" s="119" customFormat="1" ht="25.5" customHeight="1" x14ac:dyDescent="0.2">
      <c r="A15" s="2267">
        <v>5</v>
      </c>
      <c r="B15" s="2268" t="s">
        <v>1391</v>
      </c>
      <c r="C15" s="2246">
        <f>SUM(D15:F15)</f>
        <v>41698742.469999999</v>
      </c>
      <c r="D15" s="2246">
        <f>'55_NĐ31'!C33</f>
        <v>2083677</v>
      </c>
      <c r="E15" s="2246">
        <f>'57_NĐ31'!C14</f>
        <v>39615065.469999999</v>
      </c>
      <c r="F15" s="2285">
        <f>SUM(G15:H15)</f>
        <v>0</v>
      </c>
      <c r="G15" s="2246"/>
      <c r="H15" s="2246"/>
      <c r="I15" s="2246">
        <f t="shared" si="1"/>
        <v>35797134.990000002</v>
      </c>
      <c r="J15" s="2246">
        <f>'55_NĐ31'!D33</f>
        <v>83537</v>
      </c>
      <c r="K15" s="2246">
        <f>'57_NĐ31'!H14</f>
        <v>35713597.990000002</v>
      </c>
      <c r="L15" s="2275">
        <f>SUM(M15:N15)</f>
        <v>0</v>
      </c>
      <c r="M15" s="2246"/>
      <c r="N15" s="2246"/>
      <c r="O15" s="1679"/>
      <c r="P15" s="1679">
        <f>I15/C15%</f>
        <v>85.847037271577477</v>
      </c>
      <c r="Q15" s="1679">
        <f>J15/D15%</f>
        <v>4.0091146564462727</v>
      </c>
      <c r="R15" s="1679">
        <f>K15/E15%</f>
        <v>90.151556147358804</v>
      </c>
      <c r="S15" s="1679"/>
      <c r="T15" s="2093"/>
      <c r="U15" s="2093"/>
      <c r="V15" s="125"/>
    </row>
    <row r="16" spans="1:27" s="119" customFormat="1" ht="32.25" customHeight="1" x14ac:dyDescent="0.2">
      <c r="A16" s="2267">
        <v>6</v>
      </c>
      <c r="B16" s="1670" t="s">
        <v>1486</v>
      </c>
      <c r="C16" s="2246">
        <f>SUM(D16:F16)</f>
        <v>8773491</v>
      </c>
      <c r="D16" s="2246"/>
      <c r="E16" s="2246">
        <f>'57_NĐ31'!C15</f>
        <v>8773491</v>
      </c>
      <c r="F16" s="2285">
        <f t="shared" si="3"/>
        <v>0</v>
      </c>
      <c r="G16" s="2246"/>
      <c r="H16" s="2246"/>
      <c r="I16" s="2246">
        <f t="shared" si="1"/>
        <v>8708186.6809999999</v>
      </c>
      <c r="J16" s="2246"/>
      <c r="K16" s="2246">
        <f>'57_NĐ31'!H15</f>
        <v>8708186.6809999999</v>
      </c>
      <c r="L16" s="2275">
        <f t="shared" si="5"/>
        <v>0</v>
      </c>
      <c r="M16" s="2246"/>
      <c r="N16" s="2246"/>
      <c r="O16" s="1679"/>
      <c r="P16" s="1679">
        <f t="shared" ref="P16:P24" si="6">I16/C16%</f>
        <v>99.255663235991236</v>
      </c>
      <c r="Q16" s="1679"/>
      <c r="R16" s="1679">
        <f t="shared" si="4"/>
        <v>99.255663235991236</v>
      </c>
      <c r="S16" s="1679"/>
      <c r="T16" s="2093"/>
      <c r="U16" s="2093"/>
    </row>
    <row r="17" spans="1:22" s="119" customFormat="1" ht="25.5" customHeight="1" x14ac:dyDescent="0.2">
      <c r="A17" s="2267">
        <v>7</v>
      </c>
      <c r="B17" s="1670" t="s">
        <v>1487</v>
      </c>
      <c r="C17" s="2246">
        <f t="shared" si="2"/>
        <v>9355490.1999999993</v>
      </c>
      <c r="D17" s="2246"/>
      <c r="E17" s="2246">
        <f>'57_NĐ31'!C16</f>
        <v>9355490.1999999993</v>
      </c>
      <c r="F17" s="2285">
        <f t="shared" si="3"/>
        <v>0</v>
      </c>
      <c r="G17" s="2246"/>
      <c r="H17" s="2246"/>
      <c r="I17" s="2246">
        <f t="shared" ref="I17:I23" si="7">SUM(J17:L17,O17)</f>
        <v>9323127.5580000002</v>
      </c>
      <c r="J17" s="2246"/>
      <c r="K17" s="2246">
        <f>'57_NĐ31'!H16</f>
        <v>9323127.5580000002</v>
      </c>
      <c r="L17" s="2275">
        <f t="shared" si="5"/>
        <v>0</v>
      </c>
      <c r="M17" s="2246"/>
      <c r="N17" s="2246"/>
      <c r="O17" s="1679"/>
      <c r="P17" s="1679">
        <f t="shared" si="6"/>
        <v>99.654078607233231</v>
      </c>
      <c r="Q17" s="1679"/>
      <c r="R17" s="1679">
        <f t="shared" si="4"/>
        <v>99.654078607233231</v>
      </c>
      <c r="S17" s="1679"/>
      <c r="T17" s="2093"/>
      <c r="U17" s="2093"/>
    </row>
    <row r="18" spans="1:22" s="119" customFormat="1" ht="25.5" customHeight="1" x14ac:dyDescent="0.2">
      <c r="A18" s="2267">
        <v>8</v>
      </c>
      <c r="B18" s="1670" t="s">
        <v>1488</v>
      </c>
      <c r="C18" s="2246">
        <f t="shared" si="2"/>
        <v>3573722.16</v>
      </c>
      <c r="D18" s="2246"/>
      <c r="E18" s="2246">
        <f>'57_NĐ31'!C17</f>
        <v>3573722.16</v>
      </c>
      <c r="F18" s="2285">
        <f t="shared" si="3"/>
        <v>0</v>
      </c>
      <c r="G18" s="2246"/>
      <c r="H18" s="2246"/>
      <c r="I18" s="2246">
        <f t="shared" si="7"/>
        <v>3516938.8</v>
      </c>
      <c r="J18" s="2246"/>
      <c r="K18" s="2246">
        <f>'57_NĐ31'!H17</f>
        <v>3516938.8</v>
      </c>
      <c r="L18" s="2275">
        <f t="shared" si="5"/>
        <v>0</v>
      </c>
      <c r="M18" s="2246"/>
      <c r="N18" s="2246"/>
      <c r="O18" s="1679"/>
      <c r="P18" s="1679">
        <f t="shared" si="6"/>
        <v>98.411086327986936</v>
      </c>
      <c r="Q18" s="1679"/>
      <c r="R18" s="1679">
        <f t="shared" si="4"/>
        <v>98.411086327986936</v>
      </c>
      <c r="S18" s="1679"/>
      <c r="T18" s="2093"/>
      <c r="U18" s="2093"/>
    </row>
    <row r="19" spans="1:22" s="119" customFormat="1" ht="30.75" customHeight="1" x14ac:dyDescent="0.2">
      <c r="A19" s="2267">
        <v>9</v>
      </c>
      <c r="B19" s="2268" t="s">
        <v>1489</v>
      </c>
      <c r="C19" s="2246">
        <f t="shared" si="2"/>
        <v>3359151.9</v>
      </c>
      <c r="D19" s="2246"/>
      <c r="E19" s="2246">
        <f>'57_NĐ31'!C18</f>
        <v>3359151.9</v>
      </c>
      <c r="F19" s="2285">
        <f t="shared" si="3"/>
        <v>0</v>
      </c>
      <c r="G19" s="2246"/>
      <c r="H19" s="2246"/>
      <c r="I19" s="2246">
        <f t="shared" si="7"/>
        <v>3335542.5</v>
      </c>
      <c r="J19" s="2246"/>
      <c r="K19" s="2246">
        <f>'57_NĐ31'!H18</f>
        <v>3335542.5</v>
      </c>
      <c r="L19" s="2275">
        <f t="shared" si="5"/>
        <v>0</v>
      </c>
      <c r="M19" s="2246"/>
      <c r="N19" s="2246"/>
      <c r="O19" s="1679"/>
      <c r="P19" s="1679">
        <f t="shared" si="6"/>
        <v>99.297161881842854</v>
      </c>
      <c r="Q19" s="1679"/>
      <c r="R19" s="1679">
        <f t="shared" si="4"/>
        <v>99.297161881842854</v>
      </c>
      <c r="S19" s="1679"/>
      <c r="T19" s="2093"/>
      <c r="U19" s="2093"/>
    </row>
    <row r="20" spans="1:22" s="119" customFormat="1" ht="25.5" customHeight="1" x14ac:dyDescent="0.2">
      <c r="A20" s="2267">
        <v>10</v>
      </c>
      <c r="B20" s="1670" t="s">
        <v>1490</v>
      </c>
      <c r="C20" s="2246">
        <f t="shared" si="2"/>
        <v>13767940</v>
      </c>
      <c r="D20" s="2246"/>
      <c r="E20" s="2246">
        <f>'57_NĐ31'!C19</f>
        <v>13767940</v>
      </c>
      <c r="F20" s="2285">
        <f t="shared" si="3"/>
        <v>0</v>
      </c>
      <c r="G20" s="2246"/>
      <c r="H20" s="2246"/>
      <c r="I20" s="2246">
        <f>SUM(J20:L20,O20)</f>
        <v>13695230.123</v>
      </c>
      <c r="J20" s="2246"/>
      <c r="K20" s="2246">
        <f>'57_NĐ31'!H19</f>
        <v>13695230.123</v>
      </c>
      <c r="L20" s="2275">
        <f t="shared" si="5"/>
        <v>0</v>
      </c>
      <c r="M20" s="2246"/>
      <c r="N20" s="2246"/>
      <c r="O20" s="1679"/>
      <c r="P20" s="1679">
        <f t="shared" si="6"/>
        <v>99.471889934151378</v>
      </c>
      <c r="Q20" s="1679"/>
      <c r="R20" s="1679">
        <f t="shared" si="4"/>
        <v>99.471889934151378</v>
      </c>
      <c r="S20" s="1679"/>
      <c r="T20" s="2093"/>
      <c r="U20" s="2093"/>
    </row>
    <row r="21" spans="1:22" s="119" customFormat="1" ht="33" customHeight="1" x14ac:dyDescent="0.2">
      <c r="A21" s="2267">
        <v>11</v>
      </c>
      <c r="B21" s="1670" t="s">
        <v>1491</v>
      </c>
      <c r="C21" s="2246">
        <f t="shared" si="2"/>
        <v>12371183</v>
      </c>
      <c r="D21" s="2246"/>
      <c r="E21" s="2246">
        <f>'57_NĐ31'!C20</f>
        <v>12371183</v>
      </c>
      <c r="F21" s="2285">
        <f t="shared" si="3"/>
        <v>0</v>
      </c>
      <c r="G21" s="2246"/>
      <c r="H21" s="2246"/>
      <c r="I21" s="2246">
        <f t="shared" si="7"/>
        <v>12307945.481000001</v>
      </c>
      <c r="J21" s="2246"/>
      <c r="K21" s="2246">
        <f>'57_NĐ31'!H20</f>
        <v>12307945.481000001</v>
      </c>
      <c r="L21" s="2275">
        <f t="shared" si="5"/>
        <v>0</v>
      </c>
      <c r="M21" s="2246"/>
      <c r="N21" s="2246"/>
      <c r="O21" s="1679"/>
      <c r="P21" s="1679">
        <f t="shared" si="6"/>
        <v>99.488832078548995</v>
      </c>
      <c r="Q21" s="1679"/>
      <c r="R21" s="1679">
        <f t="shared" si="4"/>
        <v>99.488832078548995</v>
      </c>
      <c r="S21" s="1679"/>
      <c r="T21" s="2093"/>
      <c r="U21" s="2093"/>
    </row>
    <row r="22" spans="1:22" s="119" customFormat="1" ht="33" customHeight="1" x14ac:dyDescent="0.2">
      <c r="A22" s="2267">
        <v>12</v>
      </c>
      <c r="B22" s="1670" t="s">
        <v>1492</v>
      </c>
      <c r="C22" s="2246">
        <f>SUM(D22:F22)</f>
        <v>8225863.5</v>
      </c>
      <c r="D22" s="2246"/>
      <c r="E22" s="2246">
        <f>'57_NĐ31'!C21</f>
        <v>8225863.5</v>
      </c>
      <c r="F22" s="2285">
        <f t="shared" si="3"/>
        <v>0</v>
      </c>
      <c r="G22" s="2246"/>
      <c r="H22" s="2246"/>
      <c r="I22" s="2246">
        <f>SUM(J22:L22,O22)</f>
        <v>8177019.6069999998</v>
      </c>
      <c r="J22" s="2246"/>
      <c r="K22" s="2246">
        <f>'57_NĐ31'!H21</f>
        <v>8177019.6069999998</v>
      </c>
      <c r="L22" s="2275">
        <f t="shared" si="5"/>
        <v>0</v>
      </c>
      <c r="M22" s="2246"/>
      <c r="N22" s="2246"/>
      <c r="O22" s="1679"/>
      <c r="P22" s="1679">
        <f t="shared" si="6"/>
        <v>99.406215614932108</v>
      </c>
      <c r="Q22" s="1679"/>
      <c r="R22" s="1679">
        <f t="shared" si="4"/>
        <v>99.406215614932108</v>
      </c>
      <c r="S22" s="1679"/>
      <c r="T22" s="2093"/>
      <c r="U22" s="2093"/>
    </row>
    <row r="23" spans="1:22" s="119" customFormat="1" ht="33" customHeight="1" x14ac:dyDescent="0.2">
      <c r="A23" s="2267">
        <v>13</v>
      </c>
      <c r="B23" s="1670" t="s">
        <v>1493</v>
      </c>
      <c r="C23" s="2246">
        <f t="shared" si="2"/>
        <v>8876670.1999999993</v>
      </c>
      <c r="D23" s="2246"/>
      <c r="E23" s="2246">
        <f>'57_NĐ31'!C22</f>
        <v>8876670.1999999993</v>
      </c>
      <c r="F23" s="2285">
        <f t="shared" si="3"/>
        <v>0</v>
      </c>
      <c r="G23" s="2246"/>
      <c r="H23" s="2246"/>
      <c r="I23" s="2246">
        <f t="shared" si="7"/>
        <v>8704898.8629999999</v>
      </c>
      <c r="J23" s="2246"/>
      <c r="K23" s="2246">
        <f>'57_NĐ31'!H22-L23</f>
        <v>8704898.8629999999</v>
      </c>
      <c r="L23" s="2275">
        <f t="shared" ref="L23:L31" si="8">SUM(M23:N23)</f>
        <v>0</v>
      </c>
      <c r="M23" s="2246"/>
      <c r="N23" s="2246"/>
      <c r="O23" s="1679"/>
      <c r="P23" s="1679">
        <f t="shared" si="6"/>
        <v>98.064912482610893</v>
      </c>
      <c r="Q23" s="1679"/>
      <c r="R23" s="1679">
        <f t="shared" si="4"/>
        <v>98.064912482610893</v>
      </c>
      <c r="S23" s="1679"/>
      <c r="T23" s="2093"/>
      <c r="U23" s="2093"/>
      <c r="V23" s="125"/>
    </row>
    <row r="24" spans="1:22" s="119" customFormat="1" ht="33" customHeight="1" x14ac:dyDescent="0.2">
      <c r="A24" s="2267">
        <v>14</v>
      </c>
      <c r="B24" s="1670" t="s">
        <v>1494</v>
      </c>
      <c r="C24" s="2246">
        <f t="shared" si="2"/>
        <v>18370533</v>
      </c>
      <c r="D24" s="2884">
        <f>'55_NĐ31'!C11</f>
        <v>0</v>
      </c>
      <c r="E24" s="2246">
        <f>'57_NĐ31'!C23</f>
        <v>18370533</v>
      </c>
      <c r="F24" s="2285">
        <f t="shared" si="3"/>
        <v>0</v>
      </c>
      <c r="G24" s="2246"/>
      <c r="H24" s="2246"/>
      <c r="I24" s="2246">
        <f>SUM(J24:L24,O24)</f>
        <v>18226526.679000001</v>
      </c>
      <c r="J24" s="2285">
        <f>'55_NĐ31'!D11</f>
        <v>0</v>
      </c>
      <c r="K24" s="2246">
        <f>'57_NĐ31'!H23</f>
        <v>18226526.679000001</v>
      </c>
      <c r="L24" s="2275">
        <f t="shared" si="8"/>
        <v>0</v>
      </c>
      <c r="M24" s="2246"/>
      <c r="N24" s="2246"/>
      <c r="O24" s="1679"/>
      <c r="P24" s="1679">
        <f t="shared" si="6"/>
        <v>99.216101563302502</v>
      </c>
      <c r="Q24" s="1679"/>
      <c r="R24" s="1679">
        <f t="shared" si="4"/>
        <v>99.216101563302502</v>
      </c>
      <c r="S24" s="2093"/>
      <c r="T24" s="2093"/>
      <c r="U24" s="2093"/>
    </row>
    <row r="25" spans="1:22" s="119" customFormat="1" ht="25.5" customHeight="1" x14ac:dyDescent="0.2">
      <c r="A25" s="2267">
        <v>15</v>
      </c>
      <c r="B25" s="2268" t="s">
        <v>1380</v>
      </c>
      <c r="C25" s="2246">
        <f t="shared" ref="C25" si="9">SUM(D25:F25)</f>
        <v>681285.58600000001</v>
      </c>
      <c r="D25" s="2246"/>
      <c r="E25" s="2246">
        <f>'57_NĐ31'!C24</f>
        <v>681285.58600000001</v>
      </c>
      <c r="F25" s="2285">
        <f t="shared" si="3"/>
        <v>0</v>
      </c>
      <c r="G25" s="2246"/>
      <c r="H25" s="2246"/>
      <c r="I25" s="2246">
        <f t="shared" ref="I25:I26" si="10">SUM(J25:L25,O25)</f>
        <v>681285.58600000001</v>
      </c>
      <c r="J25" s="2246"/>
      <c r="K25" s="2246">
        <f>'57_NĐ31'!H24</f>
        <v>681285.58600000001</v>
      </c>
      <c r="L25" s="2275">
        <f t="shared" si="8"/>
        <v>0</v>
      </c>
      <c r="M25" s="2246"/>
      <c r="N25" s="2246"/>
      <c r="O25" s="1679"/>
      <c r="P25" s="1679">
        <f t="shared" ref="P25:P27" si="11">I25/C25%</f>
        <v>100</v>
      </c>
      <c r="Q25" s="1679"/>
      <c r="R25" s="1679">
        <f t="shared" ref="R25:R27" si="12">K25/E25%</f>
        <v>100</v>
      </c>
      <c r="S25" s="2093"/>
      <c r="T25" s="2093"/>
      <c r="U25" s="2093"/>
    </row>
    <row r="26" spans="1:22" s="119" customFormat="1" ht="25.5" customHeight="1" x14ac:dyDescent="0.2">
      <c r="A26" s="2267">
        <v>16</v>
      </c>
      <c r="B26" s="2269" t="s">
        <v>1379</v>
      </c>
      <c r="C26" s="2246">
        <f>SUM(D26:F26)</f>
        <v>8017872.5140000004</v>
      </c>
      <c r="D26" s="2246"/>
      <c r="E26" s="2246">
        <f>'57_NĐ31'!C25</f>
        <v>8017872.5140000004</v>
      </c>
      <c r="F26" s="2285">
        <f t="shared" si="3"/>
        <v>0</v>
      </c>
      <c r="G26" s="2246"/>
      <c r="H26" s="2246"/>
      <c r="I26" s="2246">
        <f t="shared" si="10"/>
        <v>8017872.5140000004</v>
      </c>
      <c r="J26" s="2246"/>
      <c r="K26" s="2246">
        <f>'57_NĐ31'!H25</f>
        <v>8017872.5140000004</v>
      </c>
      <c r="L26" s="2275">
        <f t="shared" si="8"/>
        <v>0</v>
      </c>
      <c r="M26" s="2246"/>
      <c r="N26" s="2246"/>
      <c r="O26" s="1679"/>
      <c r="P26" s="1679">
        <f t="shared" si="11"/>
        <v>100</v>
      </c>
      <c r="Q26" s="1679"/>
      <c r="R26" s="1679">
        <f t="shared" si="12"/>
        <v>100</v>
      </c>
      <c r="S26" s="2093"/>
      <c r="T26" s="2093"/>
      <c r="U26" s="2093"/>
    </row>
    <row r="27" spans="1:22" s="119" customFormat="1" ht="25.5" customHeight="1" x14ac:dyDescent="0.2">
      <c r="A27" s="2267">
        <v>17</v>
      </c>
      <c r="B27" s="1670" t="s">
        <v>638</v>
      </c>
      <c r="C27" s="2246">
        <f t="shared" ref="C27:C28" si="13">SUM(D27:F27)</f>
        <v>4183314.3119999999</v>
      </c>
      <c r="D27" s="2246"/>
      <c r="E27" s="2246">
        <f>'57_NĐ31'!C26</f>
        <v>4183314.3119999999</v>
      </c>
      <c r="F27" s="2285">
        <f t="shared" si="3"/>
        <v>0</v>
      </c>
      <c r="G27" s="2246"/>
      <c r="H27" s="2246"/>
      <c r="I27" s="2246">
        <f t="shared" ref="I27" si="14">SUM(J27:L27,O27)</f>
        <v>4183314.3119999999</v>
      </c>
      <c r="J27" s="2246"/>
      <c r="K27" s="2246">
        <f>'57_NĐ31'!H26</f>
        <v>4183314.3119999999</v>
      </c>
      <c r="L27" s="2275">
        <f t="shared" si="8"/>
        <v>0</v>
      </c>
      <c r="M27" s="2246"/>
      <c r="N27" s="2246"/>
      <c r="O27" s="1679"/>
      <c r="P27" s="1679">
        <f t="shared" si="11"/>
        <v>100</v>
      </c>
      <c r="Q27" s="1679"/>
      <c r="R27" s="1679">
        <f t="shared" si="12"/>
        <v>100</v>
      </c>
      <c r="S27" s="1679"/>
      <c r="T27" s="1679"/>
      <c r="U27" s="1679"/>
    </row>
    <row r="28" spans="1:22" s="119" customFormat="1" ht="25.5" customHeight="1" x14ac:dyDescent="0.2">
      <c r="A28" s="2267">
        <v>18</v>
      </c>
      <c r="B28" s="2270" t="s">
        <v>1520</v>
      </c>
      <c r="C28" s="2246">
        <f t="shared" si="13"/>
        <v>438486</v>
      </c>
      <c r="D28" s="2246"/>
      <c r="E28" s="2246">
        <f>'57_NĐ31'!C27</f>
        <v>438486</v>
      </c>
      <c r="F28" s="2285">
        <f t="shared" si="3"/>
        <v>0</v>
      </c>
      <c r="G28" s="2246"/>
      <c r="H28" s="2246"/>
      <c r="I28" s="2246">
        <f>SUM(J28:L28,O28)</f>
        <v>397152.21</v>
      </c>
      <c r="J28" s="2246"/>
      <c r="K28" s="2246">
        <f>'57_NĐ31'!H27</f>
        <v>397152.21</v>
      </c>
      <c r="L28" s="2275">
        <f t="shared" si="8"/>
        <v>0</v>
      </c>
      <c r="M28" s="2246"/>
      <c r="N28" s="2246"/>
      <c r="O28" s="1679"/>
      <c r="P28" s="1679">
        <f t="shared" ref="P28:P31" si="15">I28/C28%</f>
        <v>90.573521161450998</v>
      </c>
      <c r="Q28" s="1679"/>
      <c r="R28" s="1679">
        <f t="shared" ref="R28:R31" si="16">K28/E28%</f>
        <v>90.573521161450998</v>
      </c>
      <c r="S28" s="1679"/>
      <c r="T28" s="1679"/>
      <c r="U28" s="1679"/>
    </row>
    <row r="29" spans="1:22" s="119" customFormat="1" ht="25.5" customHeight="1" x14ac:dyDescent="0.2">
      <c r="A29" s="2267">
        <v>19</v>
      </c>
      <c r="B29" s="2270" t="s">
        <v>1377</v>
      </c>
      <c r="C29" s="2246">
        <f t="shared" ref="C29:C31" si="17">SUM(D29:F29)</f>
        <v>124325</v>
      </c>
      <c r="D29" s="2246"/>
      <c r="E29" s="2246">
        <f>'57_NĐ31'!C28</f>
        <v>124325</v>
      </c>
      <c r="F29" s="2285">
        <f t="shared" si="3"/>
        <v>0</v>
      </c>
      <c r="G29" s="2246"/>
      <c r="H29" s="2246"/>
      <c r="I29" s="2246">
        <f t="shared" ref="I29:I30" si="18">SUM(J29:L29,O29)</f>
        <v>124325</v>
      </c>
      <c r="J29" s="2246"/>
      <c r="K29" s="2246">
        <f>'57_NĐ31'!H28</f>
        <v>124325</v>
      </c>
      <c r="L29" s="2275">
        <f t="shared" si="8"/>
        <v>0</v>
      </c>
      <c r="M29" s="2246"/>
      <c r="N29" s="2246"/>
      <c r="O29" s="1679"/>
      <c r="P29" s="1679">
        <f t="shared" si="15"/>
        <v>100</v>
      </c>
      <c r="Q29" s="1679"/>
      <c r="R29" s="1679">
        <f t="shared" si="16"/>
        <v>100</v>
      </c>
      <c r="S29" s="1679"/>
      <c r="T29" s="1679"/>
      <c r="U29" s="1679"/>
    </row>
    <row r="30" spans="1:22" s="119" customFormat="1" ht="25.5" customHeight="1" x14ac:dyDescent="0.2">
      <c r="A30" s="2267">
        <v>20</v>
      </c>
      <c r="B30" s="2270" t="s">
        <v>957</v>
      </c>
      <c r="C30" s="2246">
        <f t="shared" si="17"/>
        <v>35000</v>
      </c>
      <c r="D30" s="2246"/>
      <c r="E30" s="2246">
        <f>'57_NĐ31'!C29</f>
        <v>35000</v>
      </c>
      <c r="F30" s="2285">
        <f t="shared" si="3"/>
        <v>0</v>
      </c>
      <c r="G30" s="2246"/>
      <c r="H30" s="2246"/>
      <c r="I30" s="2246">
        <f t="shared" si="18"/>
        <v>35000</v>
      </c>
      <c r="J30" s="2246"/>
      <c r="K30" s="2246">
        <f>'57_NĐ31'!H29</f>
        <v>35000</v>
      </c>
      <c r="L30" s="2275">
        <f t="shared" si="8"/>
        <v>0</v>
      </c>
      <c r="M30" s="2246"/>
      <c r="N30" s="2246"/>
      <c r="O30" s="1679"/>
      <c r="P30" s="1679">
        <f t="shared" si="15"/>
        <v>100</v>
      </c>
      <c r="Q30" s="1679"/>
      <c r="R30" s="1679">
        <f t="shared" si="16"/>
        <v>100</v>
      </c>
      <c r="S30" s="1679"/>
      <c r="T30" s="1679"/>
      <c r="U30" s="1679"/>
    </row>
    <row r="31" spans="1:22" ht="36.75" customHeight="1" x14ac:dyDescent="0.25">
      <c r="A31" s="2271">
        <v>21</v>
      </c>
      <c r="B31" s="2272" t="s">
        <v>1496</v>
      </c>
      <c r="C31" s="2276">
        <f t="shared" si="17"/>
        <v>35000</v>
      </c>
      <c r="D31" s="2276"/>
      <c r="E31" s="2276">
        <f>'57_NĐ31'!C30</f>
        <v>35000</v>
      </c>
      <c r="F31" s="2286">
        <f t="shared" si="3"/>
        <v>0</v>
      </c>
      <c r="G31" s="2276"/>
      <c r="H31" s="2276"/>
      <c r="I31" s="2276">
        <f>SUM(J31:L31,O31)</f>
        <v>35000</v>
      </c>
      <c r="J31" s="2276"/>
      <c r="K31" s="2276">
        <f>'57_NĐ31'!H30</f>
        <v>35000</v>
      </c>
      <c r="L31" s="2277">
        <f t="shared" si="8"/>
        <v>0</v>
      </c>
      <c r="M31" s="2276"/>
      <c r="N31" s="2276"/>
      <c r="O31" s="1681"/>
      <c r="P31" s="1681">
        <f t="shared" si="15"/>
        <v>100</v>
      </c>
      <c r="Q31" s="1681"/>
      <c r="R31" s="1681">
        <f t="shared" si="16"/>
        <v>100</v>
      </c>
      <c r="S31" s="1681"/>
      <c r="T31" s="1681"/>
      <c r="U31" s="1681"/>
    </row>
    <row r="32" spans="1:22" s="1784" customFormat="1" ht="36.75" customHeight="1" x14ac:dyDescent="0.2">
      <c r="A32" s="130" t="s">
        <v>4</v>
      </c>
      <c r="B32" s="136" t="s">
        <v>444</v>
      </c>
      <c r="C32" s="2273">
        <f>SUM(D32:F32)</f>
        <v>7604000</v>
      </c>
      <c r="D32" s="2273"/>
      <c r="E32" s="2273">
        <v>7604000</v>
      </c>
      <c r="F32" s="2287"/>
      <c r="G32" s="2273"/>
      <c r="H32" s="2273"/>
      <c r="I32" s="2273"/>
      <c r="J32" s="2273"/>
      <c r="K32" s="2273"/>
      <c r="L32" s="2273"/>
      <c r="M32" s="2273"/>
      <c r="N32" s="2273"/>
      <c r="O32" s="1654"/>
      <c r="P32" s="1654"/>
      <c r="Q32" s="1654"/>
      <c r="R32" s="1654"/>
      <c r="S32" s="1654"/>
      <c r="T32" s="1654"/>
      <c r="U32" s="1654"/>
    </row>
    <row r="33" spans="1:24" s="1659" customFormat="1" ht="36.75" customHeight="1" x14ac:dyDescent="0.2">
      <c r="A33" s="130" t="s">
        <v>45</v>
      </c>
      <c r="B33" s="136" t="s">
        <v>445</v>
      </c>
      <c r="C33" s="2273">
        <f>SUM(D33:F33)</f>
        <v>645000</v>
      </c>
      <c r="D33" s="2273"/>
      <c r="E33" s="2273">
        <v>645000</v>
      </c>
      <c r="F33" s="2287"/>
      <c r="G33" s="2273"/>
      <c r="H33" s="2273"/>
      <c r="I33" s="2273"/>
      <c r="J33" s="2273"/>
      <c r="K33" s="2273"/>
      <c r="L33" s="2273"/>
      <c r="M33" s="2273"/>
      <c r="N33" s="2273"/>
      <c r="O33" s="1654"/>
      <c r="P33" s="1654"/>
      <c r="Q33" s="1654"/>
      <c r="R33" s="1654"/>
      <c r="S33" s="1654"/>
      <c r="T33" s="1654"/>
      <c r="U33" s="1654"/>
    </row>
    <row r="34" spans="1:24" s="1659" customFormat="1" ht="48.75" customHeight="1" x14ac:dyDescent="0.2">
      <c r="A34" s="130" t="s">
        <v>67</v>
      </c>
      <c r="B34" s="136" t="s">
        <v>571</v>
      </c>
      <c r="C34" s="2273"/>
      <c r="D34" s="2273"/>
      <c r="E34" s="2273"/>
      <c r="F34" s="2273"/>
      <c r="G34" s="2273"/>
      <c r="H34" s="2273"/>
      <c r="I34" s="2273"/>
      <c r="J34" s="2278"/>
      <c r="K34" s="2279"/>
      <c r="L34" s="2278"/>
      <c r="M34" s="2278"/>
      <c r="N34" s="2278"/>
      <c r="O34" s="1690"/>
      <c r="P34" s="1785"/>
      <c r="Q34" s="1690"/>
      <c r="R34" s="1690"/>
      <c r="S34" s="1654"/>
      <c r="T34" s="1654"/>
      <c r="U34" s="1654"/>
      <c r="X34" s="1658"/>
    </row>
    <row r="35" spans="1:24" s="1668" customFormat="1" ht="24" customHeight="1" x14ac:dyDescent="0.2">
      <c r="A35" s="1664"/>
      <c r="B35" s="1665" t="s">
        <v>417</v>
      </c>
      <c r="C35" s="2280"/>
      <c r="D35" s="2280"/>
      <c r="E35" s="2280"/>
      <c r="F35" s="2281"/>
      <c r="G35" s="2281"/>
      <c r="H35" s="2281"/>
      <c r="I35" s="2281"/>
      <c r="J35" s="2281"/>
      <c r="K35" s="2282"/>
      <c r="L35" s="2283"/>
      <c r="M35" s="2283"/>
      <c r="N35" s="2283"/>
      <c r="O35" s="1786"/>
      <c r="P35" s="1787"/>
      <c r="Q35" s="1786"/>
      <c r="R35" s="1786"/>
      <c r="S35" s="1788"/>
      <c r="T35" s="1788"/>
      <c r="U35" s="1788"/>
      <c r="V35" s="1680"/>
      <c r="W35" s="1680"/>
    </row>
    <row r="36" spans="1:24" s="1668" customFormat="1" ht="24" customHeight="1" x14ac:dyDescent="0.2">
      <c r="A36" s="1672"/>
      <c r="B36" s="1673" t="s">
        <v>104</v>
      </c>
      <c r="C36" s="2276"/>
      <c r="D36" s="2276"/>
      <c r="E36" s="2276"/>
      <c r="F36" s="2276"/>
      <c r="G36" s="2276"/>
      <c r="H36" s="2276"/>
      <c r="I36" s="2276"/>
      <c r="J36" s="2277"/>
      <c r="K36" s="2284"/>
      <c r="L36" s="2276"/>
      <c r="M36" s="2277"/>
      <c r="N36" s="2277"/>
      <c r="O36" s="1674"/>
      <c r="P36" s="1789"/>
      <c r="Q36" s="1674"/>
      <c r="R36" s="1674"/>
      <c r="S36" s="1790"/>
      <c r="T36" s="1790"/>
      <c r="U36" s="1790"/>
      <c r="V36" s="1680"/>
      <c r="W36" s="1680"/>
    </row>
    <row r="37" spans="1:24" s="1659" customFormat="1" ht="35.25" customHeight="1" x14ac:dyDescent="0.2">
      <c r="A37" s="1652" t="s">
        <v>510</v>
      </c>
      <c r="B37" s="1660" t="s">
        <v>141</v>
      </c>
      <c r="C37" s="2273"/>
      <c r="D37" s="2273"/>
      <c r="E37" s="2273"/>
      <c r="F37" s="2273"/>
      <c r="G37" s="2273"/>
      <c r="H37" s="2273"/>
      <c r="I37" s="2273">
        <f>'48_NĐ31'!E27</f>
        <v>10510612.880000001</v>
      </c>
      <c r="J37" s="2278"/>
      <c r="K37" s="2279"/>
      <c r="L37" s="2278"/>
      <c r="M37" s="2278"/>
      <c r="N37" s="2278"/>
      <c r="O37" s="1690"/>
      <c r="P37" s="1690"/>
      <c r="Q37" s="1690"/>
      <c r="R37" s="1690"/>
      <c r="S37" s="1654"/>
      <c r="T37" s="1654"/>
      <c r="U37" s="1654"/>
    </row>
    <row r="38" spans="1:24" s="1659" customFormat="1" ht="50.25" customHeight="1" x14ac:dyDescent="0.2">
      <c r="A38" s="1652" t="s">
        <v>515</v>
      </c>
      <c r="B38" s="1660" t="s">
        <v>446</v>
      </c>
      <c r="C38" s="2273"/>
      <c r="D38" s="2273"/>
      <c r="E38" s="2273"/>
      <c r="F38" s="2273"/>
      <c r="G38" s="2273"/>
      <c r="H38" s="2273"/>
      <c r="I38" s="2273">
        <f>'48_NĐ31'!E36</f>
        <v>36659241.707000002</v>
      </c>
      <c r="J38" s="2273"/>
      <c r="K38" s="2273"/>
      <c r="L38" s="2273"/>
      <c r="M38" s="2273"/>
      <c r="N38" s="2273"/>
      <c r="O38" s="1654"/>
      <c r="P38" s="1654"/>
      <c r="Q38" s="1654"/>
      <c r="R38" s="1654"/>
      <c r="S38" s="1654"/>
      <c r="T38" s="1654"/>
      <c r="U38" s="1654"/>
    </row>
    <row r="39" spans="1:24" s="119" customFormat="1" ht="7.15" customHeight="1" x14ac:dyDescent="0.2">
      <c r="A39" s="362"/>
      <c r="B39" s="1636"/>
    </row>
    <row r="40" spans="1:24" x14ac:dyDescent="0.25">
      <c r="I40" s="142"/>
    </row>
    <row r="41" spans="1:24" x14ac:dyDescent="0.25">
      <c r="I41" s="142"/>
      <c r="K41" s="46"/>
      <c r="M41" s="46"/>
    </row>
    <row r="42" spans="1:24" x14ac:dyDescent="0.25">
      <c r="I42" s="142"/>
    </row>
    <row r="43" spans="1:24" x14ac:dyDescent="0.25">
      <c r="E43" s="46"/>
      <c r="I43" s="142"/>
    </row>
  </sheetData>
  <mergeCells count="24">
    <mergeCell ref="E7:E8"/>
    <mergeCell ref="C6:H6"/>
    <mergeCell ref="P6:U6"/>
    <mergeCell ref="O7:O8"/>
    <mergeCell ref="P7:P8"/>
    <mergeCell ref="Q7:Q8"/>
    <mergeCell ref="R7:R8"/>
    <mergeCell ref="I7:I8"/>
    <mergeCell ref="A2:U2"/>
    <mergeCell ref="R1:U1"/>
    <mergeCell ref="R5:U5"/>
    <mergeCell ref="S7:U7"/>
    <mergeCell ref="F7:H7"/>
    <mergeCell ref="J7:J8"/>
    <mergeCell ref="K7:K8"/>
    <mergeCell ref="L7:N7"/>
    <mergeCell ref="A3:U3"/>
    <mergeCell ref="A4:U4"/>
    <mergeCell ref="A1:D1"/>
    <mergeCell ref="A6:A8"/>
    <mergeCell ref="B6:B8"/>
    <mergeCell ref="I6:O6"/>
    <mergeCell ref="C7:C8"/>
    <mergeCell ref="D7:D8"/>
  </mergeCells>
  <conditionalFormatting sqref="B28">
    <cfRule type="colorScale" priority="3">
      <colorScale>
        <cfvo type="min"/>
        <cfvo type="percentile" val="50"/>
        <cfvo type="max"/>
        <color rgb="FFF8696B"/>
        <color rgb="FFFCFCFF"/>
        <color rgb="FF63BE7B"/>
      </colorScale>
    </cfRule>
  </conditionalFormatting>
  <conditionalFormatting sqref="B29">
    <cfRule type="colorScale" priority="2">
      <colorScale>
        <cfvo type="min"/>
        <cfvo type="percentile" val="50"/>
        <cfvo type="max"/>
        <color rgb="FFF8696B"/>
        <color rgb="FFFCFCFF"/>
        <color rgb="FF63BE7B"/>
      </colorScale>
    </cfRule>
  </conditionalFormatting>
  <conditionalFormatting sqref="B30">
    <cfRule type="colorScale" priority="1">
      <colorScale>
        <cfvo type="min"/>
        <cfvo type="percentile" val="50"/>
        <cfvo type="max"/>
        <color rgb="FFF8696B"/>
        <color rgb="FFFCFCFF"/>
        <color rgb="FF63BE7B"/>
      </colorScale>
    </cfRule>
  </conditionalFormatting>
  <printOptions horizontalCentered="1"/>
  <pageMargins left="0.35433070866141703" right="0.27559055118110198" top="0.45" bottom="0.52" header="0.31496062992126" footer="0.31496062992126"/>
  <pageSetup paperSize="9" scale="60" firstPageNumber="20" orientation="landscape" useFirstPageNumber="1"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sheetPr>
  <dimension ref="A1:V40"/>
  <sheetViews>
    <sheetView view="pageBreakPreview" zoomScale="120" zoomScaleNormal="100" zoomScaleSheetLayoutView="120" workbookViewId="0">
      <selection activeCell="B36" sqref="B36"/>
    </sheetView>
  </sheetViews>
  <sheetFormatPr defaultColWidth="9.140625" defaultRowHeight="15" x14ac:dyDescent="0.25"/>
  <cols>
    <col min="1" max="1" width="4.85546875" style="1463" customWidth="1"/>
    <col min="2" max="2" width="17.140625" style="1463" customWidth="1"/>
    <col min="3" max="3" width="15.42578125" style="1463" customWidth="1"/>
    <col min="4" max="4" width="16" style="1463" customWidth="1"/>
    <col min="5" max="5" width="13.140625" style="1463" customWidth="1"/>
    <col min="6" max="6" width="6.28515625" style="1463" customWidth="1"/>
    <col min="7" max="7" width="6.85546875" style="1463" customWidth="1"/>
    <col min="8" max="8" width="6.7109375" style="1463" customWidth="1"/>
    <col min="9" max="9" width="6.5703125" style="1463" customWidth="1"/>
    <col min="10" max="10" width="7.28515625" style="1463" customWidth="1"/>
    <col min="11" max="11" width="7.85546875" style="1463" customWidth="1"/>
    <col min="12" max="12" width="7.140625" style="1463" customWidth="1"/>
    <col min="13" max="13" width="14.140625" style="1463" customWidth="1"/>
    <col min="14" max="14" width="13" style="1463" customWidth="1"/>
    <col min="15" max="15" width="10.140625" style="1464" customWidth="1"/>
    <col min="16" max="16" width="10.85546875" style="1464" customWidth="1"/>
    <col min="17" max="17" width="13" style="1463" customWidth="1"/>
    <col min="18" max="18" width="12.85546875" style="1463" customWidth="1"/>
    <col min="19" max="19" width="6.28515625" style="1463" customWidth="1"/>
    <col min="20" max="20" width="26.28515625" style="1463" customWidth="1"/>
    <col min="21" max="21" width="16.140625" style="1463" customWidth="1"/>
    <col min="22" max="22" width="14.7109375" style="1463" customWidth="1"/>
    <col min="23" max="23" width="13.85546875" style="1463" customWidth="1"/>
    <col min="24" max="16384" width="9.140625" style="1463"/>
  </cols>
  <sheetData>
    <row r="1" spans="1:22" ht="22.5" customHeight="1" x14ac:dyDescent="0.25">
      <c r="A1" s="3160" t="str">
        <f>'54_NĐ31'!A1:D1</f>
        <v xml:space="preserve">UBND PHƯỜNG BẮC KẠN </v>
      </c>
      <c r="B1" s="3160"/>
      <c r="C1" s="3160"/>
      <c r="D1" s="3160"/>
      <c r="Q1" s="3159" t="s">
        <v>966</v>
      </c>
      <c r="R1" s="3159"/>
      <c r="S1" s="1465"/>
      <c r="T1" s="1466"/>
    </row>
    <row r="2" spans="1:22" ht="15.75" hidden="1" customHeight="1" x14ac:dyDescent="0.25">
      <c r="A2" s="3159" t="s">
        <v>1508</v>
      </c>
      <c r="B2" s="3159"/>
      <c r="C2" s="3159"/>
      <c r="D2" s="3159"/>
      <c r="E2" s="3159"/>
      <c r="F2" s="3159"/>
      <c r="G2" s="3159"/>
      <c r="H2" s="3159"/>
      <c r="I2" s="3159"/>
      <c r="J2" s="3159"/>
      <c r="K2" s="3159"/>
      <c r="L2" s="3159"/>
      <c r="M2" s="3159"/>
      <c r="N2" s="3159"/>
      <c r="O2" s="3159"/>
      <c r="P2" s="3159"/>
      <c r="Q2" s="3159"/>
      <c r="R2" s="3159"/>
      <c r="S2" s="3159"/>
    </row>
    <row r="3" spans="1:22" ht="24" customHeight="1" x14ac:dyDescent="0.25">
      <c r="A3" s="3161" t="s">
        <v>1506</v>
      </c>
      <c r="B3" s="3161"/>
      <c r="C3" s="3161"/>
      <c r="D3" s="3161"/>
      <c r="E3" s="3161"/>
      <c r="F3" s="3161"/>
      <c r="G3" s="3161"/>
      <c r="H3" s="3161"/>
      <c r="I3" s="3161"/>
      <c r="J3" s="3161"/>
      <c r="K3" s="3161"/>
      <c r="L3" s="3161"/>
      <c r="M3" s="3161"/>
      <c r="N3" s="3161"/>
      <c r="O3" s="3161"/>
      <c r="P3" s="3161"/>
      <c r="Q3" s="3161"/>
      <c r="R3" s="3161"/>
      <c r="S3" s="3161"/>
    </row>
    <row r="4" spans="1:22" ht="19.899999999999999" customHeight="1" x14ac:dyDescent="0.25">
      <c r="A4" s="3162" t="str">
        <f>'54_NĐ31'!A4:U4</f>
        <v>(Kèm theo Quyết định số          /QĐ-UBND ngày          /4/2026 của UBND phường Bắc Kạn)</v>
      </c>
      <c r="B4" s="3162"/>
      <c r="C4" s="3162"/>
      <c r="D4" s="3162"/>
      <c r="E4" s="3162"/>
      <c r="F4" s="3162"/>
      <c r="G4" s="3162"/>
      <c r="H4" s="3162"/>
      <c r="I4" s="3162"/>
      <c r="J4" s="3162"/>
      <c r="K4" s="3162"/>
      <c r="L4" s="3162"/>
      <c r="M4" s="3162"/>
      <c r="N4" s="3162"/>
      <c r="O4" s="3162"/>
      <c r="P4" s="3162"/>
      <c r="Q4" s="3162"/>
      <c r="R4" s="3162"/>
      <c r="S4" s="3162"/>
    </row>
    <row r="5" spans="1:22" x14ac:dyDescent="0.25">
      <c r="F5" s="1467"/>
      <c r="P5" s="3158" t="s">
        <v>1187</v>
      </c>
      <c r="Q5" s="3158"/>
      <c r="R5" s="3158"/>
      <c r="S5" s="3158"/>
    </row>
    <row r="6" spans="1:22" s="1468" customFormat="1" ht="22.5" customHeight="1" x14ac:dyDescent="0.2">
      <c r="A6" s="3163" t="s">
        <v>0</v>
      </c>
      <c r="B6" s="3163" t="s">
        <v>52</v>
      </c>
      <c r="C6" s="3163" t="s">
        <v>529</v>
      </c>
      <c r="D6" s="3163" t="s">
        <v>400</v>
      </c>
      <c r="E6" s="3163" t="s">
        <v>33</v>
      </c>
      <c r="F6" s="3163" t="s">
        <v>71</v>
      </c>
      <c r="G6" s="3163" t="s">
        <v>80</v>
      </c>
      <c r="H6" s="3163" t="s">
        <v>72</v>
      </c>
      <c r="I6" s="3163" t="s">
        <v>73</v>
      </c>
      <c r="J6" s="3163" t="s">
        <v>435</v>
      </c>
      <c r="K6" s="3163" t="s">
        <v>81</v>
      </c>
      <c r="L6" s="3163" t="s">
        <v>74</v>
      </c>
      <c r="M6" s="3163" t="s">
        <v>82</v>
      </c>
      <c r="N6" s="3165" t="s">
        <v>47</v>
      </c>
      <c r="O6" s="3166"/>
      <c r="P6" s="3163" t="s">
        <v>436</v>
      </c>
      <c r="Q6" s="3163" t="s">
        <v>26</v>
      </c>
      <c r="R6" s="3163" t="s">
        <v>437</v>
      </c>
      <c r="S6" s="3163" t="s">
        <v>414</v>
      </c>
    </row>
    <row r="7" spans="1:22" s="1468" customFormat="1" ht="102" customHeight="1" x14ac:dyDescent="0.2">
      <c r="A7" s="3164"/>
      <c r="B7" s="3164"/>
      <c r="C7" s="3164"/>
      <c r="D7" s="3164"/>
      <c r="E7" s="3164"/>
      <c r="F7" s="3164"/>
      <c r="G7" s="3164"/>
      <c r="H7" s="3164"/>
      <c r="I7" s="3164"/>
      <c r="J7" s="3164"/>
      <c r="K7" s="3164"/>
      <c r="L7" s="3164"/>
      <c r="M7" s="3164"/>
      <c r="N7" s="1388" t="s">
        <v>447</v>
      </c>
      <c r="O7" s="1388" t="s">
        <v>448</v>
      </c>
      <c r="P7" s="3164"/>
      <c r="Q7" s="3164"/>
      <c r="R7" s="3164"/>
      <c r="S7" s="3164"/>
    </row>
    <row r="8" spans="1:22" s="1470" customFormat="1" ht="30" customHeight="1" x14ac:dyDescent="0.25">
      <c r="A8" s="400" t="s">
        <v>3</v>
      </c>
      <c r="B8" s="400" t="s">
        <v>4</v>
      </c>
      <c r="C8" s="400">
        <v>1</v>
      </c>
      <c r="D8" s="400">
        <v>2</v>
      </c>
      <c r="E8" s="400">
        <v>3</v>
      </c>
      <c r="F8" s="400">
        <v>4</v>
      </c>
      <c r="G8" s="400">
        <v>5</v>
      </c>
      <c r="H8" s="400">
        <v>6</v>
      </c>
      <c r="I8" s="400">
        <v>7</v>
      </c>
      <c r="J8" s="400">
        <v>8</v>
      </c>
      <c r="K8" s="400">
        <v>9</v>
      </c>
      <c r="L8" s="400">
        <v>10</v>
      </c>
      <c r="M8" s="400">
        <v>11</v>
      </c>
      <c r="N8" s="400">
        <v>12</v>
      </c>
      <c r="O8" s="400">
        <v>13</v>
      </c>
      <c r="P8" s="400">
        <v>14</v>
      </c>
      <c r="Q8" s="400">
        <v>15</v>
      </c>
      <c r="R8" s="400">
        <v>16</v>
      </c>
      <c r="S8" s="400" t="s">
        <v>585</v>
      </c>
      <c r="T8" s="1469"/>
      <c r="U8" s="1469"/>
    </row>
    <row r="9" spans="1:22" s="1505" customFormat="1" ht="27" customHeight="1" x14ac:dyDescent="0.2">
      <c r="A9" s="1388"/>
      <c r="B9" s="1388" t="s">
        <v>29</v>
      </c>
      <c r="C9" s="1483">
        <f>C10+C33</f>
        <v>26684335.097999997</v>
      </c>
      <c r="D9" s="1483">
        <f>SUM(E9:N9)+P9+Q9+R9</f>
        <v>23185254.901000001</v>
      </c>
      <c r="E9" s="1473">
        <f>E10+E35</f>
        <v>5933938.3969999999</v>
      </c>
      <c r="F9" s="1473"/>
      <c r="G9" s="1473"/>
      <c r="H9" s="1473"/>
      <c r="I9" s="1473"/>
      <c r="J9" s="1473"/>
      <c r="K9" s="1473"/>
      <c r="L9" s="1570">
        <f>L10+L35</f>
        <v>0</v>
      </c>
      <c r="M9" s="1473">
        <f>M10+M35</f>
        <v>10171464.347999999</v>
      </c>
      <c r="N9" s="1473">
        <f>N10+N35</f>
        <v>2079852.1560000004</v>
      </c>
      <c r="O9" s="1570">
        <f t="shared" ref="O9:R9" si="0">O10+O35</f>
        <v>0</v>
      </c>
      <c r="P9" s="1570">
        <f t="shared" si="0"/>
        <v>0</v>
      </c>
      <c r="Q9" s="1570">
        <f>Q10+Q35</f>
        <v>0</v>
      </c>
      <c r="R9" s="1473">
        <f t="shared" si="0"/>
        <v>5000000</v>
      </c>
      <c r="S9" s="1502"/>
      <c r="T9" s="1503"/>
      <c r="U9" s="1504"/>
      <c r="V9" s="1504"/>
    </row>
    <row r="10" spans="1:22" s="1501" customFormat="1" ht="33" customHeight="1" x14ac:dyDescent="0.25">
      <c r="A10" s="400">
        <v>1</v>
      </c>
      <c r="B10" s="1495" t="s">
        <v>954</v>
      </c>
      <c r="C10" s="1472">
        <f>SUM(C11:C32)</f>
        <v>24600658.097999997</v>
      </c>
      <c r="D10" s="1500">
        <f>SUM(E10:N10)+P10+Q10+R10</f>
        <v>23101717.901000001</v>
      </c>
      <c r="E10" s="1472">
        <f>E12</f>
        <v>5850401.3969999999</v>
      </c>
      <c r="F10" s="1472"/>
      <c r="G10" s="1472"/>
      <c r="H10" s="1472"/>
      <c r="I10" s="1472"/>
      <c r="J10" s="1472"/>
      <c r="K10" s="1472"/>
      <c r="L10" s="1472"/>
      <c r="M10" s="1472">
        <f>SUM(M11:M35)</f>
        <v>10171464.347999999</v>
      </c>
      <c r="N10" s="1472">
        <f>SUM(N11:N35)</f>
        <v>2079852.1560000004</v>
      </c>
      <c r="O10" s="1571">
        <f t="shared" ref="O10:R10" si="1">SUM(O11:O35)</f>
        <v>0</v>
      </c>
      <c r="P10" s="1571">
        <f t="shared" si="1"/>
        <v>0</v>
      </c>
      <c r="Q10" s="1571">
        <f>SUM(Q11:Q35)</f>
        <v>0</v>
      </c>
      <c r="R10" s="1472">
        <f t="shared" si="1"/>
        <v>5000000</v>
      </c>
      <c r="S10" s="1495"/>
    </row>
    <row r="11" spans="1:22" ht="33" hidden="1" customHeight="1" x14ac:dyDescent="0.25">
      <c r="A11" s="1475" t="s">
        <v>7</v>
      </c>
      <c r="B11" s="1476" t="str">
        <f>[2]Sheet2!B20</f>
        <v>Lĩnh vực giáo dục - đào tạo và dạy nghề  (Loại Loại 070 - Ngành 073)</v>
      </c>
      <c r="C11" s="1477"/>
      <c r="D11" s="1474"/>
      <c r="E11" s="1478"/>
      <c r="F11" s="1479"/>
      <c r="G11" s="1480"/>
      <c r="H11" s="1480"/>
      <c r="I11" s="1480"/>
      <c r="J11" s="1480"/>
      <c r="K11" s="1480"/>
      <c r="L11" s="1480"/>
      <c r="M11" s="1480"/>
      <c r="N11" s="1480"/>
      <c r="O11" s="1480"/>
      <c r="P11" s="1480"/>
      <c r="Q11" s="1480"/>
      <c r="R11" s="1480"/>
      <c r="S11" s="1480"/>
    </row>
    <row r="12" spans="1:22" s="1651" customFormat="1" ht="33" hidden="1" customHeight="1" x14ac:dyDescent="0.25">
      <c r="A12" s="1645"/>
      <c r="B12" s="1646" t="s">
        <v>771</v>
      </c>
      <c r="C12" s="1647">
        <f>411067.52+5439333.877</f>
        <v>5850401.3969999999</v>
      </c>
      <c r="D12" s="1648">
        <f>SUM(E12:N12)</f>
        <v>5850401.3969999999</v>
      </c>
      <c r="E12" s="1648">
        <v>5850401.3969999999</v>
      </c>
      <c r="F12" s="1649"/>
      <c r="G12" s="1649"/>
      <c r="H12" s="1649"/>
      <c r="I12" s="1649"/>
      <c r="J12" s="1649"/>
      <c r="K12" s="1649"/>
      <c r="L12" s="1649"/>
      <c r="M12" s="1649"/>
      <c r="N12" s="1649"/>
      <c r="O12" s="1645"/>
      <c r="P12" s="1645"/>
      <c r="Q12" s="1645"/>
      <c r="R12" s="1645"/>
      <c r="S12" s="1645"/>
      <c r="T12" s="1650"/>
    </row>
    <row r="13" spans="1:22" ht="33" hidden="1" customHeight="1" x14ac:dyDescent="0.25">
      <c r="A13" s="1480" t="s">
        <v>38</v>
      </c>
      <c r="B13" s="1484" t="str">
        <f>[2]Sheet2!B27</f>
        <v>Lĩnh vực giao thông đường bộ (Loại 280 - Ngành 292)</v>
      </c>
      <c r="C13" s="1482"/>
      <c r="D13" s="1471"/>
      <c r="E13" s="1471"/>
      <c r="F13" s="1482"/>
      <c r="G13" s="1482"/>
      <c r="H13" s="1482"/>
      <c r="I13" s="1482"/>
      <c r="J13" s="1482"/>
      <c r="K13" s="1482"/>
      <c r="L13" s="1482"/>
      <c r="M13" s="1482"/>
      <c r="N13" s="1482"/>
      <c r="O13" s="1480"/>
      <c r="P13" s="1480"/>
      <c r="Q13" s="1480"/>
      <c r="R13" s="1480"/>
      <c r="S13" s="1480"/>
      <c r="T13" s="1485"/>
    </row>
    <row r="14" spans="1:22" ht="33" hidden="1" customHeight="1" x14ac:dyDescent="0.25">
      <c r="A14" s="1480"/>
      <c r="B14" s="1481" t="s">
        <v>777</v>
      </c>
      <c r="C14" s="1482">
        <v>1677000</v>
      </c>
      <c r="D14" s="1471">
        <f t="shared" ref="D14:D31" si="2">SUM(E14:N14)</f>
        <v>485106</v>
      </c>
      <c r="E14" s="1471"/>
      <c r="F14" s="1482"/>
      <c r="G14" s="1482"/>
      <c r="H14" s="1482"/>
      <c r="I14" s="1482"/>
      <c r="J14" s="1482"/>
      <c r="K14" s="1482"/>
      <c r="L14" s="1482"/>
      <c r="M14" s="1482"/>
      <c r="N14" s="1482">
        <v>485106</v>
      </c>
      <c r="O14" s="1480"/>
      <c r="P14" s="1480"/>
      <c r="Q14" s="1480"/>
      <c r="R14" s="1480"/>
      <c r="S14" s="1480"/>
    </row>
    <row r="15" spans="1:22" ht="33" hidden="1" customHeight="1" x14ac:dyDescent="0.25">
      <c r="A15" s="1480"/>
      <c r="B15" s="1486" t="s">
        <v>790</v>
      </c>
      <c r="C15" s="1482">
        <v>16850</v>
      </c>
      <c r="D15" s="1471"/>
      <c r="E15" s="1471"/>
      <c r="F15" s="1482"/>
      <c r="G15" s="1482"/>
      <c r="H15" s="1482"/>
      <c r="I15" s="1482"/>
      <c r="J15" s="1482"/>
      <c r="K15" s="1482"/>
      <c r="L15" s="1482"/>
      <c r="M15" s="1482"/>
      <c r="N15" s="1482"/>
      <c r="O15" s="1480"/>
      <c r="P15" s="1480"/>
      <c r="Q15" s="1480"/>
      <c r="R15" s="1480"/>
      <c r="S15" s="1480"/>
    </row>
    <row r="16" spans="1:22" ht="33" hidden="1" customHeight="1" x14ac:dyDescent="0.25">
      <c r="A16" s="1480"/>
      <c r="B16" s="1481" t="s">
        <v>1443</v>
      </c>
      <c r="C16" s="1482">
        <f>D16</f>
        <v>1307961.182</v>
      </c>
      <c r="D16" s="1471">
        <f t="shared" si="2"/>
        <v>1307961.182</v>
      </c>
      <c r="E16" s="1471"/>
      <c r="F16" s="1482"/>
      <c r="G16" s="1482"/>
      <c r="H16" s="1482"/>
      <c r="I16" s="1482"/>
      <c r="J16" s="1482"/>
      <c r="K16" s="1482"/>
      <c r="L16" s="1482"/>
      <c r="M16" s="1482"/>
      <c r="N16" s="1482">
        <f>1307961.182</f>
        <v>1307961.182</v>
      </c>
      <c r="O16" s="1480"/>
      <c r="P16" s="1480"/>
      <c r="Q16" s="1480"/>
      <c r="R16" s="1480"/>
      <c r="S16" s="1480"/>
    </row>
    <row r="17" spans="1:21" ht="33" hidden="1" customHeight="1" x14ac:dyDescent="0.25">
      <c r="A17" s="1480"/>
      <c r="B17" s="1480" t="s">
        <v>768</v>
      </c>
      <c r="C17" s="1482">
        <f>36374.746+8800</f>
        <v>45174.745999999999</v>
      </c>
      <c r="D17" s="1471">
        <f t="shared" si="2"/>
        <v>40967.411</v>
      </c>
      <c r="E17" s="1471"/>
      <c r="F17" s="1482"/>
      <c r="G17" s="1482"/>
      <c r="H17" s="1482"/>
      <c r="I17" s="1482"/>
      <c r="J17" s="1482"/>
      <c r="K17" s="1482"/>
      <c r="L17" s="1482"/>
      <c r="M17" s="1482"/>
      <c r="N17" s="1482">
        <f>36374.746+4592.665</f>
        <v>40967.411</v>
      </c>
      <c r="O17" s="1480"/>
      <c r="P17" s="1480"/>
      <c r="Q17" s="1480"/>
      <c r="R17" s="1480"/>
      <c r="S17" s="1480"/>
    </row>
    <row r="18" spans="1:21" ht="33" hidden="1" customHeight="1" x14ac:dyDescent="0.25">
      <c r="A18" s="1480"/>
      <c r="B18" s="1487" t="s">
        <v>1471</v>
      </c>
      <c r="C18" s="1482">
        <f>34484.665+10900</f>
        <v>45384.665000000001</v>
      </c>
      <c r="D18" s="1471">
        <f t="shared" si="2"/>
        <v>41126.951000000001</v>
      </c>
      <c r="E18" s="1471"/>
      <c r="F18" s="1482"/>
      <c r="G18" s="1482"/>
      <c r="H18" s="1482"/>
      <c r="I18" s="1482"/>
      <c r="J18" s="1482"/>
      <c r="K18" s="1482"/>
      <c r="L18" s="1482"/>
      <c r="M18" s="1482"/>
      <c r="N18" s="1482">
        <f>34484.665+6642.286</f>
        <v>41126.951000000001</v>
      </c>
      <c r="O18" s="1480"/>
      <c r="P18" s="1480"/>
      <c r="Q18" s="1480"/>
      <c r="R18" s="1480"/>
      <c r="S18" s="1480"/>
    </row>
    <row r="19" spans="1:21" ht="33" hidden="1" customHeight="1" x14ac:dyDescent="0.25">
      <c r="A19" s="1480"/>
      <c r="B19" s="1480" t="s">
        <v>1472</v>
      </c>
      <c r="C19" s="1482">
        <f>76820.631+12800</f>
        <v>89620.630999999994</v>
      </c>
      <c r="D19" s="1471">
        <f t="shared" si="2"/>
        <v>81774.62000000001</v>
      </c>
      <c r="E19" s="1471"/>
      <c r="F19" s="1482"/>
      <c r="G19" s="1482"/>
      <c r="H19" s="1482"/>
      <c r="I19" s="1482"/>
      <c r="J19" s="1482"/>
      <c r="K19" s="1482"/>
      <c r="L19" s="1482"/>
      <c r="M19" s="1482"/>
      <c r="N19" s="1482">
        <f>74044.842+7729.778</f>
        <v>81774.62000000001</v>
      </c>
      <c r="O19" s="1480"/>
      <c r="P19" s="1480"/>
      <c r="Q19" s="1480"/>
      <c r="R19" s="1480"/>
      <c r="S19" s="1480"/>
    </row>
    <row r="20" spans="1:21" ht="33" hidden="1" customHeight="1" x14ac:dyDescent="0.25">
      <c r="A20" s="1480"/>
      <c r="B20" s="1487" t="s">
        <v>1474</v>
      </c>
      <c r="C20" s="1482">
        <f>14539.974+6000+11700+1000</f>
        <v>33239.974000000002</v>
      </c>
      <c r="D20" s="1471">
        <f t="shared" si="2"/>
        <v>30307.133999999998</v>
      </c>
      <c r="E20" s="1471"/>
      <c r="F20" s="1482"/>
      <c r="G20" s="1482"/>
      <c r="H20" s="1482"/>
      <c r="I20" s="1482"/>
      <c r="J20" s="1482"/>
      <c r="K20" s="1482"/>
      <c r="L20" s="1482"/>
      <c r="M20" s="1482"/>
      <c r="N20" s="1482">
        <f>'[2]5.14.2'!M28+'[2]5.14.2'!M24+'[2]5.14.2'!M14</f>
        <v>30307.133999999998</v>
      </c>
      <c r="O20" s="1480"/>
      <c r="P20" s="1480"/>
      <c r="Q20" s="1480"/>
      <c r="R20" s="1480"/>
      <c r="S20" s="1480"/>
    </row>
    <row r="21" spans="1:21" ht="33" hidden="1" customHeight="1" x14ac:dyDescent="0.25">
      <c r="A21" s="1480"/>
      <c r="B21" s="1488" t="s">
        <v>1480</v>
      </c>
      <c r="C21" s="1482">
        <f>70350.398+10000</f>
        <v>80350.398000000001</v>
      </c>
      <c r="D21" s="1471">
        <f t="shared" si="2"/>
        <v>47007.898999999998</v>
      </c>
      <c r="E21" s="1471"/>
      <c r="F21" s="1482"/>
      <c r="G21" s="1482"/>
      <c r="H21" s="1482"/>
      <c r="I21" s="1482"/>
      <c r="J21" s="1482"/>
      <c r="K21" s="1482"/>
      <c r="L21" s="1482"/>
      <c r="M21" s="1482"/>
      <c r="N21" s="1482">
        <f>'[2]5.14.2'!M25</f>
        <v>47007.898999999998</v>
      </c>
      <c r="O21" s="1480"/>
      <c r="P21" s="1480"/>
      <c r="Q21" s="1480"/>
      <c r="R21" s="1480"/>
      <c r="S21" s="1480"/>
    </row>
    <row r="22" spans="1:21" ht="33" hidden="1" customHeight="1" x14ac:dyDescent="0.25">
      <c r="A22" s="1480"/>
      <c r="B22" s="1487" t="s">
        <v>1476</v>
      </c>
      <c r="C22" s="1482">
        <f>35714.857+14200</f>
        <v>49914.857000000004</v>
      </c>
      <c r="D22" s="1471">
        <f t="shared" si="2"/>
        <v>45600.959000000003</v>
      </c>
      <c r="E22" s="1471"/>
      <c r="F22" s="1482"/>
      <c r="G22" s="1482"/>
      <c r="H22" s="1482"/>
      <c r="I22" s="1482"/>
      <c r="J22" s="1482"/>
      <c r="K22" s="1482"/>
      <c r="L22" s="1482"/>
      <c r="M22" s="1482"/>
      <c r="N22" s="1482">
        <f>'[2]5.14.2'!M26+'[2]5.14.2'!M15</f>
        <v>45600.959000000003</v>
      </c>
      <c r="O22" s="1480"/>
      <c r="P22" s="1480"/>
      <c r="Q22" s="1480"/>
      <c r="R22" s="1480"/>
      <c r="S22" s="1480"/>
    </row>
    <row r="23" spans="1:21" ht="33" hidden="1" customHeight="1" x14ac:dyDescent="0.25">
      <c r="A23" s="1480" t="s">
        <v>39</v>
      </c>
      <c r="B23" s="1489" t="s">
        <v>1499</v>
      </c>
      <c r="C23" s="1482"/>
      <c r="D23" s="1483"/>
      <c r="E23" s="1471"/>
      <c r="F23" s="1482"/>
      <c r="G23" s="1482"/>
      <c r="H23" s="1482"/>
      <c r="I23" s="1482"/>
      <c r="J23" s="1482"/>
      <c r="K23" s="1482"/>
      <c r="L23" s="1482"/>
      <c r="M23" s="1482"/>
      <c r="N23" s="1482"/>
      <c r="O23" s="1480"/>
      <c r="P23" s="1480"/>
      <c r="Q23" s="1480"/>
      <c r="R23" s="1480"/>
      <c r="S23" s="1480"/>
    </row>
    <row r="24" spans="1:21" ht="33" hidden="1" customHeight="1" x14ac:dyDescent="0.25">
      <c r="A24" s="1480" t="s">
        <v>1500</v>
      </c>
      <c r="B24" s="1484" t="s">
        <v>1501</v>
      </c>
      <c r="C24" s="1482"/>
      <c r="D24" s="1483"/>
      <c r="E24" s="1471"/>
      <c r="F24" s="1482"/>
      <c r="G24" s="1482"/>
      <c r="H24" s="1482"/>
      <c r="I24" s="1482"/>
      <c r="J24" s="1482"/>
      <c r="K24" s="1482"/>
      <c r="L24" s="1482"/>
      <c r="M24" s="1482"/>
      <c r="N24" s="1482"/>
      <c r="O24" s="1480"/>
      <c r="P24" s="1480"/>
      <c r="Q24" s="1480"/>
      <c r="R24" s="1480"/>
      <c r="S24" s="1480"/>
    </row>
    <row r="25" spans="1:21" ht="33" hidden="1" customHeight="1" x14ac:dyDescent="0.25">
      <c r="A25" s="1480"/>
      <c r="B25" s="1481" t="s">
        <v>776</v>
      </c>
      <c r="C25" s="1482">
        <f>119000+3754254.848</f>
        <v>3873254.8480000002</v>
      </c>
      <c r="D25" s="1471">
        <f t="shared" si="2"/>
        <v>3873254.8480000002</v>
      </c>
      <c r="E25" s="1471"/>
      <c r="F25" s="1482"/>
      <c r="G25" s="1482"/>
      <c r="H25" s="1482"/>
      <c r="I25" s="1482"/>
      <c r="J25" s="1482"/>
      <c r="K25" s="1482"/>
      <c r="L25" s="1482"/>
      <c r="M25" s="1482">
        <f>119000+3754254.848</f>
        <v>3873254.8480000002</v>
      </c>
      <c r="N25" s="1482"/>
      <c r="O25" s="1480"/>
      <c r="P25" s="1480"/>
      <c r="Q25" s="1480"/>
      <c r="R25" s="1480"/>
      <c r="S25" s="1480"/>
    </row>
    <row r="26" spans="1:21" s="1490" customFormat="1" ht="33" hidden="1" customHeight="1" x14ac:dyDescent="0.25">
      <c r="A26" s="1480"/>
      <c r="B26" s="1486" t="s">
        <v>1456</v>
      </c>
      <c r="C26" s="1482">
        <v>9320</v>
      </c>
      <c r="D26" s="1471"/>
      <c r="E26" s="1471"/>
      <c r="F26" s="1482"/>
      <c r="G26" s="1482"/>
      <c r="H26" s="1482"/>
      <c r="I26" s="1482"/>
      <c r="J26" s="1482"/>
      <c r="K26" s="1482"/>
      <c r="L26" s="1482"/>
      <c r="M26" s="1482"/>
      <c r="N26" s="1482"/>
      <c r="O26" s="1480"/>
      <c r="P26" s="1480"/>
      <c r="Q26" s="1480"/>
      <c r="R26" s="1480"/>
      <c r="S26" s="1480"/>
      <c r="T26" s="1463"/>
      <c r="U26" s="1463"/>
    </row>
    <row r="27" spans="1:21" ht="33" hidden="1" customHeight="1" x14ac:dyDescent="0.25">
      <c r="A27" s="1480"/>
      <c r="B27" s="1481" t="s">
        <v>773</v>
      </c>
      <c r="C27" s="1482">
        <f>D27</f>
        <v>1779200</v>
      </c>
      <c r="D27" s="1471">
        <f t="shared" si="2"/>
        <v>1779200</v>
      </c>
      <c r="E27" s="1471"/>
      <c r="F27" s="1482"/>
      <c r="G27" s="1482"/>
      <c r="H27" s="1482"/>
      <c r="I27" s="1482"/>
      <c r="J27" s="1482"/>
      <c r="K27" s="1482"/>
      <c r="L27" s="1482"/>
      <c r="M27" s="1482">
        <f>1779200</f>
        <v>1779200</v>
      </c>
      <c r="N27" s="1482"/>
      <c r="O27" s="1480"/>
      <c r="P27" s="1480"/>
      <c r="Q27" s="1480"/>
      <c r="R27" s="1480"/>
      <c r="S27" s="1480"/>
    </row>
    <row r="28" spans="1:21" ht="33" hidden="1" customHeight="1" x14ac:dyDescent="0.25">
      <c r="A28" s="1480"/>
      <c r="B28" s="1491" t="s">
        <v>1502</v>
      </c>
      <c r="C28" s="1482"/>
      <c r="D28" s="1471"/>
      <c r="E28" s="1471"/>
      <c r="F28" s="1482"/>
      <c r="G28" s="1482"/>
      <c r="H28" s="1482"/>
      <c r="I28" s="1482"/>
      <c r="J28" s="1482"/>
      <c r="K28" s="1482"/>
      <c r="L28" s="1482"/>
      <c r="M28" s="1482"/>
      <c r="N28" s="1482"/>
      <c r="O28" s="1480"/>
      <c r="P28" s="1480"/>
      <c r="Q28" s="1480"/>
      <c r="R28" s="1480"/>
      <c r="S28" s="1480"/>
    </row>
    <row r="29" spans="1:21" ht="33" hidden="1" customHeight="1" x14ac:dyDescent="0.25">
      <c r="A29" s="1480"/>
      <c r="B29" s="1481" t="s">
        <v>778</v>
      </c>
      <c r="C29" s="1482">
        <v>4195701</v>
      </c>
      <c r="D29" s="1471">
        <f t="shared" si="2"/>
        <v>4195700.0999999996</v>
      </c>
      <c r="E29" s="1471"/>
      <c r="F29" s="1482"/>
      <c r="G29" s="1482"/>
      <c r="H29" s="1482"/>
      <c r="I29" s="1482"/>
      <c r="J29" s="1482"/>
      <c r="K29" s="1482"/>
      <c r="L29" s="1482"/>
      <c r="M29" s="1482">
        <v>4195700.0999999996</v>
      </c>
      <c r="N29" s="1482"/>
      <c r="O29" s="1480"/>
      <c r="P29" s="1480"/>
      <c r="Q29" s="1480"/>
      <c r="R29" s="1480"/>
      <c r="S29" s="1480"/>
    </row>
    <row r="30" spans="1:21" ht="33" hidden="1" customHeight="1" x14ac:dyDescent="0.25">
      <c r="A30" s="1480" t="s">
        <v>1503</v>
      </c>
      <c r="B30" s="1484" t="s">
        <v>1504</v>
      </c>
      <c r="C30" s="1482"/>
      <c r="D30" s="1471"/>
      <c r="E30" s="1471"/>
      <c r="F30" s="1482"/>
      <c r="G30" s="1482"/>
      <c r="H30" s="1482"/>
      <c r="I30" s="1482"/>
      <c r="J30" s="1482"/>
      <c r="K30" s="1482"/>
      <c r="L30" s="1482"/>
      <c r="M30" s="1482"/>
      <c r="N30" s="1482"/>
      <c r="O30" s="1480"/>
      <c r="P30" s="1480"/>
      <c r="Q30" s="1480"/>
      <c r="R30" s="1480"/>
      <c r="S30" s="1480"/>
    </row>
    <row r="31" spans="1:21" ht="33" hidden="1" customHeight="1" x14ac:dyDescent="0.25">
      <c r="A31" s="1480"/>
      <c r="B31" s="1481" t="s">
        <v>775</v>
      </c>
      <c r="C31" s="1482">
        <v>547284.4</v>
      </c>
      <c r="D31" s="1471">
        <f t="shared" si="2"/>
        <v>323309.40000000002</v>
      </c>
      <c r="E31" s="1471"/>
      <c r="F31" s="1482"/>
      <c r="G31" s="1482"/>
      <c r="H31" s="1482"/>
      <c r="I31" s="1482"/>
      <c r="J31" s="1482"/>
      <c r="K31" s="1482"/>
      <c r="L31" s="1482"/>
      <c r="M31" s="1482">
        <v>323309.40000000002</v>
      </c>
      <c r="N31" s="1482"/>
      <c r="O31" s="1480"/>
      <c r="P31" s="1480"/>
      <c r="Q31" s="1480"/>
      <c r="R31" s="1480"/>
      <c r="S31" s="1480"/>
    </row>
    <row r="32" spans="1:21" s="1494" customFormat="1" ht="33" hidden="1" customHeight="1" x14ac:dyDescent="0.25">
      <c r="A32" s="1492"/>
      <c r="B32" s="1492" t="s">
        <v>1465</v>
      </c>
      <c r="C32" s="1492">
        <v>5000000</v>
      </c>
      <c r="D32" s="1492">
        <f>SUM(E32:N32)</f>
        <v>0</v>
      </c>
      <c r="E32" s="1492"/>
      <c r="F32" s="1492"/>
      <c r="G32" s="1492"/>
      <c r="H32" s="1492"/>
      <c r="I32" s="1492"/>
      <c r="J32" s="1492"/>
      <c r="K32" s="1492"/>
      <c r="L32" s="1492"/>
      <c r="M32" s="1493"/>
      <c r="N32" s="1492"/>
      <c r="O32" s="1492"/>
      <c r="P32" s="1492"/>
      <c r="Q32" s="1492"/>
      <c r="R32" s="1492">
        <v>5000000</v>
      </c>
      <c r="S32" s="1492"/>
    </row>
    <row r="33" spans="1:19" s="1688" customFormat="1" ht="33" customHeight="1" x14ac:dyDescent="0.25">
      <c r="A33" s="1426">
        <v>2</v>
      </c>
      <c r="B33" s="1685" t="s">
        <v>1505</v>
      </c>
      <c r="C33" s="1686">
        <f>C35</f>
        <v>2083677</v>
      </c>
      <c r="D33" s="1686">
        <f>SUM(E33:N33)</f>
        <v>83537</v>
      </c>
      <c r="E33" s="1686">
        <f t="shared" ref="E33" si="3">E35</f>
        <v>83537</v>
      </c>
      <c r="F33" s="1686"/>
      <c r="G33" s="1686"/>
      <c r="H33" s="1686"/>
      <c r="I33" s="1686"/>
      <c r="J33" s="1686"/>
      <c r="K33" s="1686"/>
      <c r="L33" s="1686"/>
      <c r="M33" s="1686"/>
      <c r="N33" s="1686"/>
      <c r="O33" s="1685"/>
      <c r="P33" s="1687"/>
      <c r="Q33" s="1685"/>
      <c r="R33" s="1685"/>
      <c r="S33" s="1685"/>
    </row>
    <row r="34" spans="1:19" ht="75" hidden="1" x14ac:dyDescent="0.25">
      <c r="A34" s="1496"/>
      <c r="B34" s="1497" t="str">
        <f>[2]Sheet2!B42</f>
        <v>Nguồn ngân sách địa phương (phân cấp phường điều hành)</v>
      </c>
      <c r="C34" s="1498"/>
      <c r="D34" s="1498"/>
      <c r="E34" s="1498"/>
      <c r="F34" s="1498"/>
      <c r="G34" s="1498"/>
      <c r="H34" s="1498"/>
      <c r="I34" s="1498"/>
      <c r="J34" s="1498"/>
      <c r="K34" s="1498"/>
      <c r="L34" s="1498"/>
      <c r="M34" s="1498"/>
      <c r="N34" s="1498"/>
      <c r="O34" s="1499"/>
      <c r="P34" s="1499"/>
      <c r="Q34" s="1496"/>
      <c r="R34" s="1496"/>
      <c r="S34" s="1496"/>
    </row>
    <row r="35" spans="1:19" s="1651" customFormat="1" ht="75" hidden="1" x14ac:dyDescent="0.25">
      <c r="A35" s="1645"/>
      <c r="B35" s="1646" t="s">
        <v>1442</v>
      </c>
      <c r="C35" s="1745">
        <v>2083677</v>
      </c>
      <c r="D35" s="1745">
        <f t="shared" ref="D35" si="4">SUM(E35:N35)</f>
        <v>83537</v>
      </c>
      <c r="E35" s="1648">
        <v>83537</v>
      </c>
      <c r="F35" s="1647"/>
      <c r="G35" s="1647"/>
      <c r="H35" s="1647"/>
      <c r="I35" s="1647"/>
      <c r="J35" s="1647"/>
      <c r="K35" s="1647"/>
      <c r="L35" s="1647"/>
      <c r="M35" s="1647"/>
      <c r="N35" s="1647"/>
      <c r="O35" s="1744"/>
      <c r="P35" s="1744"/>
      <c r="Q35" s="1645"/>
      <c r="R35" s="1645"/>
      <c r="S35" s="1645"/>
    </row>
    <row r="39" spans="1:19" s="1700" customFormat="1" x14ac:dyDescent="0.25">
      <c r="C39" s="1701">
        <f>C35+C12</f>
        <v>7934078.3969999999</v>
      </c>
      <c r="O39" s="1702"/>
      <c r="P39" s="1702"/>
    </row>
    <row r="40" spans="1:19" s="1700" customFormat="1" x14ac:dyDescent="0.25">
      <c r="C40" s="1701">
        <f>C9-C39</f>
        <v>18750256.700999998</v>
      </c>
      <c r="O40" s="1702"/>
      <c r="P40" s="1702"/>
    </row>
  </sheetData>
  <mergeCells count="24">
    <mergeCell ref="R6:R7"/>
    <mergeCell ref="S6:S7"/>
    <mergeCell ref="N6:O6"/>
    <mergeCell ref="M6:M7"/>
    <mergeCell ref="L6:L7"/>
    <mergeCell ref="P6:P7"/>
    <mergeCell ref="F6:F7"/>
    <mergeCell ref="G6:G7"/>
    <mergeCell ref="H6:H7"/>
    <mergeCell ref="I6:I7"/>
    <mergeCell ref="Q6:Q7"/>
    <mergeCell ref="K6:K7"/>
    <mergeCell ref="J6:J7"/>
    <mergeCell ref="A6:A7"/>
    <mergeCell ref="B6:B7"/>
    <mergeCell ref="C6:C7"/>
    <mergeCell ref="D6:D7"/>
    <mergeCell ref="E6:E7"/>
    <mergeCell ref="P5:S5"/>
    <mergeCell ref="Q1:R1"/>
    <mergeCell ref="A2:S2"/>
    <mergeCell ref="A1:D1"/>
    <mergeCell ref="A3:S3"/>
    <mergeCell ref="A4:S4"/>
  </mergeCells>
  <printOptions horizontalCentered="1"/>
  <pageMargins left="0.31496062992126" right="0.43307086614173201" top="0.78740157480314998" bottom="0.78740157480314998" header="0.43307086614173201" footer="0.31496062992126"/>
  <pageSetup paperSize="9" scale="72" firstPageNumber="22" orientation="landscape" useFirstPageNumber="1" r:id="rId1"/>
  <headerFooter>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39997558519241921"/>
  </sheetPr>
  <dimension ref="A1:AN32"/>
  <sheetViews>
    <sheetView view="pageBreakPreview" zoomScale="87" zoomScaleNormal="80" zoomScaleSheetLayoutView="87" workbookViewId="0">
      <pane xSplit="2" ySplit="8" topLeftCell="C23" activePane="bottomRight" state="frozen"/>
      <selection pane="topRight" activeCell="C1" sqref="C1"/>
      <selection pane="bottomLeft" activeCell="A9" sqref="A9"/>
      <selection pane="bottomRight" activeCell="G39" sqref="G39"/>
    </sheetView>
  </sheetViews>
  <sheetFormatPr defaultColWidth="9.140625" defaultRowHeight="15" x14ac:dyDescent="0.25"/>
  <cols>
    <col min="1" max="1" width="5.7109375" style="204" customWidth="1"/>
    <col min="2" max="2" width="28.85546875" style="1439" customWidth="1"/>
    <col min="3" max="3" width="17.5703125" style="36" customWidth="1"/>
    <col min="4" max="4" width="16.7109375" style="299" customWidth="1"/>
    <col min="5" max="5" width="16.42578125" style="36" customWidth="1"/>
    <col min="6" max="6" width="15.28515625" style="36" customWidth="1"/>
    <col min="7" max="7" width="15.85546875" style="36" customWidth="1"/>
    <col min="8" max="8" width="15" style="36" customWidth="1"/>
    <col min="9" max="9" width="15.42578125" style="36" customWidth="1"/>
    <col min="10" max="10" width="14.7109375" style="36" customWidth="1"/>
    <col min="11" max="11" width="13" style="36" customWidth="1"/>
    <col min="12" max="12" width="14.28515625" style="36" customWidth="1"/>
    <col min="13" max="13" width="16.42578125" style="36" customWidth="1"/>
    <col min="14" max="14" width="15.42578125" style="36" customWidth="1"/>
    <col min="15" max="15" width="14.28515625" style="119" customWidth="1"/>
    <col min="16" max="16" width="16.42578125" style="125" customWidth="1"/>
    <col min="17" max="17" width="16.5703125" style="36" customWidth="1"/>
    <col min="18" max="18" width="14.7109375" style="162" customWidth="1"/>
    <col min="19" max="19" width="7.5703125" style="36" customWidth="1"/>
    <col min="20" max="20" width="16.28515625" style="36" hidden="1" customWidth="1"/>
    <col min="21" max="21" width="26.85546875" style="36" hidden="1" customWidth="1"/>
    <col min="22" max="22" width="20" style="36" hidden="1" customWidth="1"/>
    <col min="23" max="38" width="0" style="36" hidden="1" customWidth="1"/>
    <col min="39" max="39" width="18" style="36" customWidth="1"/>
    <col min="40" max="40" width="11.7109375" style="36" customWidth="1"/>
    <col min="41" max="16384" width="9.140625" style="36"/>
  </cols>
  <sheetData>
    <row r="1" spans="1:40" s="204" customFormat="1" ht="25.5" customHeight="1" x14ac:dyDescent="0.25">
      <c r="A1" s="3130" t="str">
        <f>'48_NĐ31'!A1</f>
        <v xml:space="preserve">UBND PHƯỜNG BẮC KẠN </v>
      </c>
      <c r="B1" s="3130"/>
      <c r="C1" s="244"/>
      <c r="D1" s="244"/>
      <c r="O1" s="263"/>
      <c r="P1" s="426"/>
      <c r="Q1" s="3129" t="s">
        <v>967</v>
      </c>
      <c r="R1" s="3129"/>
      <c r="S1" s="3129"/>
    </row>
    <row r="2" spans="1:40" s="204" customFormat="1" ht="25.5" hidden="1" customHeight="1" x14ac:dyDescent="0.25">
      <c r="A2" s="3171" t="s">
        <v>1509</v>
      </c>
      <c r="B2" s="3171"/>
      <c r="C2" s="3171"/>
      <c r="D2" s="3171"/>
      <c r="E2" s="3171"/>
      <c r="F2" s="3171"/>
      <c r="G2" s="3171"/>
      <c r="H2" s="3171"/>
      <c r="I2" s="3171"/>
      <c r="J2" s="3171"/>
      <c r="K2" s="3171"/>
      <c r="L2" s="3171"/>
      <c r="M2" s="3171"/>
      <c r="N2" s="3171"/>
      <c r="O2" s="3171"/>
      <c r="P2" s="3171"/>
      <c r="Q2" s="3171"/>
      <c r="R2" s="3171"/>
      <c r="S2" s="3171"/>
    </row>
    <row r="3" spans="1:40" ht="22.5" customHeight="1" x14ac:dyDescent="0.25">
      <c r="A3" s="3171" t="s">
        <v>1973</v>
      </c>
      <c r="B3" s="3171"/>
      <c r="C3" s="3171"/>
      <c r="D3" s="3171"/>
      <c r="E3" s="3171"/>
      <c r="F3" s="3171"/>
      <c r="G3" s="3171"/>
      <c r="H3" s="3171"/>
      <c r="I3" s="3171"/>
      <c r="J3" s="3171"/>
      <c r="K3" s="3171"/>
      <c r="L3" s="3171"/>
      <c r="M3" s="3171"/>
      <c r="N3" s="3171"/>
      <c r="O3" s="3171"/>
      <c r="P3" s="3171"/>
      <c r="Q3" s="3171"/>
      <c r="R3" s="3171"/>
      <c r="S3" s="3171"/>
    </row>
    <row r="4" spans="1:40" ht="26.25" customHeight="1" x14ac:dyDescent="0.25">
      <c r="A4" s="3172" t="str">
        <f>'55_NĐ31'!A4:S4</f>
        <v>(Kèm theo Quyết định số          /QĐ-UBND ngày          /4/2026 của UBND phường Bắc Kạn)</v>
      </c>
      <c r="B4" s="3172"/>
      <c r="C4" s="3172"/>
      <c r="D4" s="3172"/>
      <c r="E4" s="3172"/>
      <c r="F4" s="3172"/>
      <c r="G4" s="3172"/>
      <c r="H4" s="3172"/>
      <c r="I4" s="3172"/>
      <c r="J4" s="3172"/>
      <c r="K4" s="3172"/>
      <c r="L4" s="3172"/>
      <c r="M4" s="3172"/>
      <c r="N4" s="3172"/>
      <c r="O4" s="3172"/>
      <c r="P4" s="3172"/>
      <c r="Q4" s="3172"/>
      <c r="R4" s="3172"/>
      <c r="S4" s="3172"/>
    </row>
    <row r="5" spans="1:40" ht="22.5" customHeight="1" x14ac:dyDescent="0.25">
      <c r="B5" s="1572"/>
      <c r="C5" s="163"/>
      <c r="D5" s="1806"/>
      <c r="E5" s="163"/>
      <c r="F5" s="164"/>
      <c r="G5" s="165"/>
      <c r="I5" s="164"/>
      <c r="Q5" s="3167" t="s">
        <v>1187</v>
      </c>
      <c r="R5" s="3167"/>
      <c r="S5" s="3167"/>
      <c r="T5" s="594"/>
    </row>
    <row r="6" spans="1:40" ht="22.5" customHeight="1" x14ac:dyDescent="0.25">
      <c r="A6" s="3144" t="s">
        <v>0</v>
      </c>
      <c r="B6" s="3144" t="s">
        <v>52</v>
      </c>
      <c r="C6" s="3144" t="s">
        <v>2</v>
      </c>
      <c r="D6" s="3170" t="s">
        <v>400</v>
      </c>
      <c r="E6" s="3144" t="s">
        <v>33</v>
      </c>
      <c r="F6" s="3144" t="s">
        <v>71</v>
      </c>
      <c r="G6" s="3144" t="s">
        <v>80</v>
      </c>
      <c r="H6" s="3144" t="s">
        <v>584</v>
      </c>
      <c r="I6" s="3144" t="s">
        <v>73</v>
      </c>
      <c r="J6" s="3144" t="s">
        <v>435</v>
      </c>
      <c r="K6" s="3144" t="s">
        <v>81</v>
      </c>
      <c r="L6" s="3144" t="s">
        <v>74</v>
      </c>
      <c r="M6" s="3144" t="s">
        <v>82</v>
      </c>
      <c r="N6" s="3144" t="s">
        <v>47</v>
      </c>
      <c r="O6" s="3144"/>
      <c r="P6" s="3169" t="s">
        <v>436</v>
      </c>
      <c r="Q6" s="3144" t="s">
        <v>26</v>
      </c>
      <c r="R6" s="3168" t="s">
        <v>75</v>
      </c>
      <c r="S6" s="3144" t="s">
        <v>414</v>
      </c>
    </row>
    <row r="7" spans="1:40" ht="63.75" customHeight="1" x14ac:dyDescent="0.25">
      <c r="A7" s="3144"/>
      <c r="B7" s="3144"/>
      <c r="C7" s="3144"/>
      <c r="D7" s="3170"/>
      <c r="E7" s="3144"/>
      <c r="F7" s="3144"/>
      <c r="G7" s="3144"/>
      <c r="H7" s="3144"/>
      <c r="I7" s="3144"/>
      <c r="J7" s="3144"/>
      <c r="K7" s="3144"/>
      <c r="L7" s="3144"/>
      <c r="M7" s="3144"/>
      <c r="N7" s="169" t="s">
        <v>447</v>
      </c>
      <c r="O7" s="169" t="s">
        <v>448</v>
      </c>
      <c r="P7" s="3169"/>
      <c r="Q7" s="3144"/>
      <c r="R7" s="3168"/>
      <c r="S7" s="3144"/>
      <c r="T7" s="275"/>
    </row>
    <row r="8" spans="1:40" s="168" customFormat="1" ht="20.25" customHeight="1" x14ac:dyDescent="0.2">
      <c r="A8" s="166" t="s">
        <v>3</v>
      </c>
      <c r="B8" s="166" t="s">
        <v>4</v>
      </c>
      <c r="C8" s="166">
        <v>1</v>
      </c>
      <c r="D8" s="301">
        <v>2</v>
      </c>
      <c r="E8" s="166">
        <v>3</v>
      </c>
      <c r="F8" s="166">
        <v>4</v>
      </c>
      <c r="G8" s="166">
        <v>5</v>
      </c>
      <c r="H8" s="166">
        <v>6</v>
      </c>
      <c r="I8" s="166">
        <v>7</v>
      </c>
      <c r="J8" s="166">
        <v>8</v>
      </c>
      <c r="K8" s="166">
        <v>9</v>
      </c>
      <c r="L8" s="166">
        <v>10</v>
      </c>
      <c r="M8" s="166">
        <v>11</v>
      </c>
      <c r="N8" s="166">
        <v>12</v>
      </c>
      <c r="O8" s="166">
        <v>13</v>
      </c>
      <c r="P8" s="167">
        <v>14</v>
      </c>
      <c r="Q8" s="166">
        <v>15</v>
      </c>
      <c r="R8" s="167">
        <v>16</v>
      </c>
      <c r="S8" s="166" t="s">
        <v>509</v>
      </c>
      <c r="T8" s="595" t="s">
        <v>825</v>
      </c>
    </row>
    <row r="9" spans="1:40" ht="33" customHeight="1" x14ac:dyDescent="0.25">
      <c r="A9" s="245"/>
      <c r="B9" s="169" t="s">
        <v>511</v>
      </c>
      <c r="C9" s="2264">
        <f>SUM(C11:C31)</f>
        <v>311382568.24800003</v>
      </c>
      <c r="D9" s="2264">
        <f>SUM(D11:D31)</f>
        <v>304227425.64499998</v>
      </c>
      <c r="E9" s="2264">
        <f t="shared" ref="E9:R9" si="0">SUM(E11:E31)</f>
        <v>109161583.55599999</v>
      </c>
      <c r="F9" s="2264">
        <f t="shared" si="0"/>
        <v>4970667.13</v>
      </c>
      <c r="G9" s="2264">
        <f t="shared" si="0"/>
        <v>1370667.41</v>
      </c>
      <c r="H9" s="2264">
        <f t="shared" si="0"/>
        <v>1274291</v>
      </c>
      <c r="I9" s="2264">
        <f t="shared" si="0"/>
        <v>4185579.4589999998</v>
      </c>
      <c r="J9" s="2264">
        <f t="shared" si="0"/>
        <v>136798.6</v>
      </c>
      <c r="K9" s="2264">
        <f t="shared" si="0"/>
        <v>444680.95999999996</v>
      </c>
      <c r="L9" s="2264">
        <f t="shared" si="0"/>
        <v>9119303.682</v>
      </c>
      <c r="M9" s="2264">
        <f t="shared" si="0"/>
        <v>31637946.605</v>
      </c>
      <c r="N9" s="2264">
        <f t="shared" si="0"/>
        <v>1388510.66</v>
      </c>
      <c r="O9" s="2264">
        <f t="shared" si="0"/>
        <v>2546085.5729999999</v>
      </c>
      <c r="P9" s="2264">
        <f t="shared" si="0"/>
        <v>122721987.163</v>
      </c>
      <c r="Q9" s="2264">
        <f t="shared" si="0"/>
        <v>17612829.282000002</v>
      </c>
      <c r="R9" s="2264">
        <f t="shared" si="0"/>
        <v>1591090.798</v>
      </c>
      <c r="S9" s="245"/>
      <c r="T9" s="594"/>
    </row>
    <row r="10" spans="1:40" ht="33" customHeight="1" x14ac:dyDescent="0.25">
      <c r="A10" s="1736" t="s">
        <v>3</v>
      </c>
      <c r="B10" s="3005" t="s">
        <v>1907</v>
      </c>
      <c r="C10" s="2288">
        <f>SUM(C11:C31)</f>
        <v>311382568.24800003</v>
      </c>
      <c r="D10" s="2288">
        <f t="shared" ref="D10:R10" si="1">SUM(D11:D31)</f>
        <v>304227425.64499998</v>
      </c>
      <c r="E10" s="2288">
        <f t="shared" si="1"/>
        <v>109161583.55599999</v>
      </c>
      <c r="F10" s="2288">
        <f t="shared" si="1"/>
        <v>4970667.13</v>
      </c>
      <c r="G10" s="2288">
        <f t="shared" si="1"/>
        <v>1370667.41</v>
      </c>
      <c r="H10" s="2288">
        <f t="shared" si="1"/>
        <v>1274291</v>
      </c>
      <c r="I10" s="2288">
        <f t="shared" si="1"/>
        <v>4185579.4589999998</v>
      </c>
      <c r="J10" s="2288">
        <f t="shared" si="1"/>
        <v>136798.6</v>
      </c>
      <c r="K10" s="2288">
        <f t="shared" si="1"/>
        <v>444680.95999999996</v>
      </c>
      <c r="L10" s="2288">
        <f t="shared" si="1"/>
        <v>9119303.682</v>
      </c>
      <c r="M10" s="2288">
        <f t="shared" si="1"/>
        <v>31637946.605</v>
      </c>
      <c r="N10" s="2288">
        <f t="shared" si="1"/>
        <v>1388510.66</v>
      </c>
      <c r="O10" s="2288">
        <f t="shared" si="1"/>
        <v>2546085.5729999999</v>
      </c>
      <c r="P10" s="2288">
        <f t="shared" si="1"/>
        <v>122721987.163</v>
      </c>
      <c r="Q10" s="2288">
        <f t="shared" si="1"/>
        <v>17612829.282000002</v>
      </c>
      <c r="R10" s="2288">
        <f t="shared" si="1"/>
        <v>1591090.798</v>
      </c>
      <c r="S10" s="1735"/>
      <c r="T10" s="594"/>
    </row>
    <row r="11" spans="1:40" s="204" customFormat="1" ht="33" customHeight="1" x14ac:dyDescent="0.25">
      <c r="A11" s="2298">
        <v>1</v>
      </c>
      <c r="B11" s="300" t="s">
        <v>516</v>
      </c>
      <c r="C11" s="2289">
        <f>'57_NĐ31'!C10</f>
        <v>100860543.402</v>
      </c>
      <c r="D11" s="2290">
        <f t="shared" ref="D11:D24" si="2">SUM(E11:M11,P11:R11)</f>
        <v>100765368.79399998</v>
      </c>
      <c r="E11" s="2290">
        <v>17621805.511999998</v>
      </c>
      <c r="F11" s="2290">
        <v>4970667.13</v>
      </c>
      <c r="G11" s="2290">
        <v>834425.2</v>
      </c>
      <c r="H11" s="2290">
        <v>736078.4</v>
      </c>
      <c r="I11" s="2290">
        <v>1487896.7490000001</v>
      </c>
      <c r="J11" s="2290">
        <v>106846.6</v>
      </c>
      <c r="K11" s="2290">
        <v>259161.56</v>
      </c>
      <c r="L11" s="2290">
        <v>22762</v>
      </c>
      <c r="M11" s="2290">
        <v>9282216.3399999999</v>
      </c>
      <c r="N11" s="2290"/>
      <c r="O11" s="2290">
        <v>2048523.047</v>
      </c>
      <c r="P11" s="2290">
        <v>53649484.204999998</v>
      </c>
      <c r="Q11" s="2290">
        <v>10397259.300000001</v>
      </c>
      <c r="R11" s="2290">
        <v>1396765.798</v>
      </c>
      <c r="S11" s="1696">
        <f t="shared" ref="S11:S24" si="3">D11/C11%</f>
        <v>99.905637422930923</v>
      </c>
      <c r="T11" s="2300"/>
      <c r="U11" s="2301" t="e">
        <f>#REF!-#REF!</f>
        <v>#REF!</v>
      </c>
      <c r="AM11" s="2302"/>
    </row>
    <row r="12" spans="1:40" s="204" customFormat="1" ht="33" customHeight="1" x14ac:dyDescent="0.25">
      <c r="A12" s="2299">
        <v>2</v>
      </c>
      <c r="B12" s="101" t="s">
        <v>954</v>
      </c>
      <c r="C12" s="2291">
        <f>'57_NĐ31'!C11</f>
        <v>10551631.65</v>
      </c>
      <c r="D12" s="2292">
        <f t="shared" si="2"/>
        <v>8839846.3299999982</v>
      </c>
      <c r="E12" s="2292"/>
      <c r="F12" s="2292"/>
      <c r="G12" s="2292">
        <v>139090</v>
      </c>
      <c r="H12" s="2292"/>
      <c r="I12" s="2292">
        <v>51600</v>
      </c>
      <c r="J12" s="2292"/>
      <c r="K12" s="2292"/>
      <c r="L12" s="2292">
        <v>99438.682000000001</v>
      </c>
      <c r="M12" s="2292">
        <v>1921463.879</v>
      </c>
      <c r="N12" s="2292"/>
      <c r="O12" s="2292">
        <v>393949.29700000002</v>
      </c>
      <c r="P12" s="2292">
        <v>4297412.9689999996</v>
      </c>
      <c r="Q12" s="2292">
        <v>2330840.7999999998</v>
      </c>
      <c r="R12" s="2292"/>
      <c r="S12" s="1697">
        <f t="shared" si="3"/>
        <v>83.777055750425077</v>
      </c>
      <c r="T12" s="2300"/>
      <c r="U12" s="2303"/>
      <c r="AM12" s="2302"/>
    </row>
    <row r="13" spans="1:40" s="204" customFormat="1" ht="33" customHeight="1" x14ac:dyDescent="0.25">
      <c r="A13" s="2299">
        <v>3</v>
      </c>
      <c r="B13" s="507" t="s">
        <v>1495</v>
      </c>
      <c r="C13" s="2291">
        <f>'57_NĐ31'!C12</f>
        <v>56519586.200000003</v>
      </c>
      <c r="D13" s="2292">
        <f t="shared" si="2"/>
        <v>55827014.185000002</v>
      </c>
      <c r="E13" s="2292">
        <v>4863076.1660000002</v>
      </c>
      <c r="F13" s="2292"/>
      <c r="G13" s="2292"/>
      <c r="H13" s="2292">
        <v>538212.6</v>
      </c>
      <c r="I13" s="2292">
        <v>122931.52</v>
      </c>
      <c r="J13" s="2292"/>
      <c r="K13" s="2292"/>
      <c r="L13" s="2292"/>
      <c r="M13" s="2292">
        <v>145809.5</v>
      </c>
      <c r="N13" s="2292"/>
      <c r="O13" s="2292"/>
      <c r="P13" s="2292">
        <v>45272255.217</v>
      </c>
      <c r="Q13" s="2292">
        <v>4884729.182</v>
      </c>
      <c r="R13" s="2292"/>
      <c r="S13" s="1697">
        <f t="shared" si="3"/>
        <v>98.774633606570873</v>
      </c>
      <c r="T13" s="2304"/>
      <c r="U13" s="587"/>
      <c r="AM13" s="2302"/>
    </row>
    <row r="14" spans="1:40" s="204" customFormat="1" ht="33" customHeight="1" x14ac:dyDescent="0.25">
      <c r="A14" s="2299">
        <v>4</v>
      </c>
      <c r="B14" s="507" t="s">
        <v>942</v>
      </c>
      <c r="C14" s="2291">
        <f>'57_NĐ31'!C13</f>
        <v>3646413.1540000001</v>
      </c>
      <c r="D14" s="2292">
        <f t="shared" si="2"/>
        <v>3612232.432</v>
      </c>
      <c r="E14" s="2292"/>
      <c r="F14" s="2292"/>
      <c r="G14" s="2292"/>
      <c r="H14" s="2292"/>
      <c r="I14" s="2292"/>
      <c r="J14" s="2292"/>
      <c r="K14" s="2292"/>
      <c r="L14" s="2292"/>
      <c r="M14" s="2292"/>
      <c r="N14" s="2292"/>
      <c r="O14" s="2292"/>
      <c r="P14" s="2292">
        <v>3612232.432</v>
      </c>
      <c r="Q14" s="2292"/>
      <c r="R14" s="2292"/>
      <c r="S14" s="1697">
        <f t="shared" si="3"/>
        <v>99.062620702689571</v>
      </c>
      <c r="T14" s="2304"/>
      <c r="U14" s="587"/>
    </row>
    <row r="15" spans="1:40" s="204" customFormat="1" ht="33" customHeight="1" x14ac:dyDescent="0.25">
      <c r="A15" s="2299">
        <v>5</v>
      </c>
      <c r="B15" s="507" t="s">
        <v>1391</v>
      </c>
      <c r="C15" s="2291">
        <f>'57_NĐ31'!C14</f>
        <v>39615065.469999999</v>
      </c>
      <c r="D15" s="2292">
        <f t="shared" si="2"/>
        <v>35713597.990000002</v>
      </c>
      <c r="E15" s="2292"/>
      <c r="F15" s="2292"/>
      <c r="G15" s="2292"/>
      <c r="H15" s="2292"/>
      <c r="I15" s="2292">
        <v>2523151.19</v>
      </c>
      <c r="J15" s="2292">
        <v>29952</v>
      </c>
      <c r="K15" s="2292">
        <v>185519.4</v>
      </c>
      <c r="L15" s="2292">
        <v>8997103</v>
      </c>
      <c r="M15" s="2292">
        <f>20297456.886-9000</f>
        <v>20288456.886</v>
      </c>
      <c r="N15" s="2292">
        <v>1388510.66</v>
      </c>
      <c r="O15" s="2292">
        <v>103613.22900000001</v>
      </c>
      <c r="P15" s="2292">
        <v>3689415.514</v>
      </c>
      <c r="Q15" s="2292"/>
      <c r="R15" s="2292"/>
      <c r="S15" s="1697">
        <f t="shared" si="3"/>
        <v>90.151556147358804</v>
      </c>
      <c r="T15" s="2304"/>
      <c r="U15" s="587"/>
      <c r="AM15" s="2046"/>
      <c r="AN15" s="2046"/>
    </row>
    <row r="16" spans="1:40" s="204" customFormat="1" ht="33" customHeight="1" x14ac:dyDescent="0.25">
      <c r="A16" s="2299">
        <v>6</v>
      </c>
      <c r="B16" s="101" t="s">
        <v>1486</v>
      </c>
      <c r="C16" s="2291">
        <f>'57_NĐ31'!C15</f>
        <v>8773491</v>
      </c>
      <c r="D16" s="2292">
        <f t="shared" si="2"/>
        <v>8708186.6809999999</v>
      </c>
      <c r="E16" s="2292">
        <v>8708186.6809999999</v>
      </c>
      <c r="F16" s="2292"/>
      <c r="G16" s="2292"/>
      <c r="H16" s="2292"/>
      <c r="I16" s="2292"/>
      <c r="J16" s="2292"/>
      <c r="K16" s="2292"/>
      <c r="L16" s="2292"/>
      <c r="M16" s="2292"/>
      <c r="N16" s="2292"/>
      <c r="O16" s="2292"/>
      <c r="P16" s="2292"/>
      <c r="Q16" s="2292"/>
      <c r="R16" s="2292"/>
      <c r="S16" s="1697">
        <f t="shared" si="3"/>
        <v>99.255663235991236</v>
      </c>
      <c r="T16" s="2304"/>
      <c r="U16" s="2304"/>
    </row>
    <row r="17" spans="1:21" s="204" customFormat="1" ht="33" customHeight="1" x14ac:dyDescent="0.25">
      <c r="A17" s="2299">
        <v>7</v>
      </c>
      <c r="B17" s="101" t="s">
        <v>1487</v>
      </c>
      <c r="C17" s="2291">
        <f>'57_NĐ31'!C16</f>
        <v>9355490.1999999993</v>
      </c>
      <c r="D17" s="2292">
        <f t="shared" si="2"/>
        <v>9323127.5580000002</v>
      </c>
      <c r="E17" s="2294">
        <v>9323127.5580000002</v>
      </c>
      <c r="F17" s="2292"/>
      <c r="G17" s="2292"/>
      <c r="H17" s="2292"/>
      <c r="I17" s="2292"/>
      <c r="J17" s="2292"/>
      <c r="K17" s="2292"/>
      <c r="L17" s="2292"/>
      <c r="M17" s="2292"/>
      <c r="N17" s="2292"/>
      <c r="O17" s="2292"/>
      <c r="P17" s="2292"/>
      <c r="Q17" s="2292"/>
      <c r="R17" s="2292"/>
      <c r="S17" s="1697">
        <f t="shared" si="3"/>
        <v>99.654078607233231</v>
      </c>
      <c r="T17" s="2304"/>
      <c r="U17" s="587"/>
    </row>
    <row r="18" spans="1:21" s="204" customFormat="1" ht="33" customHeight="1" x14ac:dyDescent="0.25">
      <c r="A18" s="2299">
        <v>8</v>
      </c>
      <c r="B18" s="101" t="s">
        <v>1488</v>
      </c>
      <c r="C18" s="2291">
        <f>'57_NĐ31'!C17</f>
        <v>3573722.16</v>
      </c>
      <c r="D18" s="2292">
        <f t="shared" si="2"/>
        <v>3516938.8</v>
      </c>
      <c r="E18" s="2292">
        <v>3516938.8</v>
      </c>
      <c r="F18" s="2292"/>
      <c r="G18" s="2292"/>
      <c r="H18" s="2292"/>
      <c r="I18" s="2292"/>
      <c r="J18" s="2292"/>
      <c r="K18" s="2292"/>
      <c r="L18" s="2292"/>
      <c r="M18" s="2292"/>
      <c r="N18" s="2292"/>
      <c r="O18" s="2292"/>
      <c r="P18" s="2292"/>
      <c r="Q18" s="2292"/>
      <c r="R18" s="2292"/>
      <c r="S18" s="1697">
        <f t="shared" si="3"/>
        <v>98.411086327986936</v>
      </c>
      <c r="T18" s="2304"/>
      <c r="U18" s="587"/>
    </row>
    <row r="19" spans="1:21" s="204" customFormat="1" ht="33" customHeight="1" x14ac:dyDescent="0.25">
      <c r="A19" s="2299">
        <v>9</v>
      </c>
      <c r="B19" s="507" t="s">
        <v>1489</v>
      </c>
      <c r="C19" s="2291">
        <f>'57_NĐ31'!C18</f>
        <v>3359151.9</v>
      </c>
      <c r="D19" s="2292">
        <f t="shared" si="2"/>
        <v>3335542.5</v>
      </c>
      <c r="E19" s="2292">
        <v>3335542.5</v>
      </c>
      <c r="F19" s="2292"/>
      <c r="G19" s="2292"/>
      <c r="H19" s="2292"/>
      <c r="I19" s="2292"/>
      <c r="J19" s="2292"/>
      <c r="K19" s="2292"/>
      <c r="L19" s="2292"/>
      <c r="M19" s="2292"/>
      <c r="N19" s="2292"/>
      <c r="O19" s="2292"/>
      <c r="P19" s="2292"/>
      <c r="Q19" s="2292"/>
      <c r="R19" s="2292"/>
      <c r="S19" s="1697">
        <f t="shared" si="3"/>
        <v>99.297161881842854</v>
      </c>
      <c r="T19" s="2304"/>
      <c r="U19" s="2304"/>
    </row>
    <row r="20" spans="1:21" s="204" customFormat="1" ht="33" customHeight="1" x14ac:dyDescent="0.25">
      <c r="A20" s="2299">
        <v>10</v>
      </c>
      <c r="B20" s="101" t="s">
        <v>1490</v>
      </c>
      <c r="C20" s="2291">
        <f>'57_NĐ31'!C19</f>
        <v>13767940</v>
      </c>
      <c r="D20" s="2292">
        <f t="shared" si="2"/>
        <v>13695230.123</v>
      </c>
      <c r="E20" s="2292">
        <v>13695230.123</v>
      </c>
      <c r="F20" s="2292"/>
      <c r="G20" s="2292"/>
      <c r="H20" s="2292"/>
      <c r="I20" s="2292"/>
      <c r="J20" s="2292"/>
      <c r="K20" s="2292"/>
      <c r="L20" s="2292"/>
      <c r="M20" s="2292"/>
      <c r="N20" s="2292"/>
      <c r="O20" s="2292"/>
      <c r="P20" s="2292"/>
      <c r="Q20" s="2292"/>
      <c r="R20" s="2292"/>
      <c r="S20" s="1697">
        <f t="shared" si="3"/>
        <v>99.471889934151378</v>
      </c>
      <c r="U20" s="2305"/>
    </row>
    <row r="21" spans="1:21" s="204" customFormat="1" ht="33" customHeight="1" x14ac:dyDescent="0.25">
      <c r="A21" s="2299">
        <v>11</v>
      </c>
      <c r="B21" s="101" t="s">
        <v>1491</v>
      </c>
      <c r="C21" s="2291">
        <f>'57_NĐ31'!C20</f>
        <v>12371183</v>
      </c>
      <c r="D21" s="2292">
        <f t="shared" si="2"/>
        <v>12307945.481000001</v>
      </c>
      <c r="E21" s="2292">
        <v>12307945.481000001</v>
      </c>
      <c r="F21" s="2292"/>
      <c r="G21" s="2292"/>
      <c r="H21" s="2292"/>
      <c r="I21" s="2292"/>
      <c r="J21" s="2292"/>
      <c r="K21" s="2292"/>
      <c r="L21" s="2292"/>
      <c r="M21" s="2292"/>
      <c r="N21" s="2292"/>
      <c r="O21" s="2292"/>
      <c r="P21" s="2292"/>
      <c r="Q21" s="2292"/>
      <c r="R21" s="2292"/>
      <c r="S21" s="1697">
        <f t="shared" si="3"/>
        <v>99.488832078548995</v>
      </c>
      <c r="T21" s="2305"/>
      <c r="U21" s="2305"/>
    </row>
    <row r="22" spans="1:21" s="204" customFormat="1" ht="33" customHeight="1" x14ac:dyDescent="0.25">
      <c r="A22" s="2299">
        <v>12</v>
      </c>
      <c r="B22" s="101" t="s">
        <v>1492</v>
      </c>
      <c r="C22" s="2291">
        <f>'57_NĐ31'!C21</f>
        <v>8225863.5</v>
      </c>
      <c r="D22" s="2292">
        <f t="shared" si="2"/>
        <v>8177019.6069999998</v>
      </c>
      <c r="E22" s="2292">
        <v>8177019.6069999998</v>
      </c>
      <c r="F22" s="2292"/>
      <c r="G22" s="2292"/>
      <c r="H22" s="2292"/>
      <c r="I22" s="2292"/>
      <c r="J22" s="2292"/>
      <c r="K22" s="2292"/>
      <c r="L22" s="2292"/>
      <c r="M22" s="2292"/>
      <c r="N22" s="2292"/>
      <c r="O22" s="2292"/>
      <c r="P22" s="2292"/>
      <c r="Q22" s="2292"/>
      <c r="R22" s="2292"/>
      <c r="S22" s="1697">
        <f t="shared" si="3"/>
        <v>99.406215614932108</v>
      </c>
      <c r="T22" s="2306"/>
      <c r="U22" s="2306"/>
    </row>
    <row r="23" spans="1:21" s="204" customFormat="1" ht="33" customHeight="1" x14ac:dyDescent="0.25">
      <c r="A23" s="2299">
        <v>13</v>
      </c>
      <c r="B23" s="101" t="s">
        <v>1493</v>
      </c>
      <c r="C23" s="2291">
        <f>'57_NĐ31'!C22</f>
        <v>8876670.1999999993</v>
      </c>
      <c r="D23" s="2292">
        <f t="shared" si="2"/>
        <v>8704898.8629999999</v>
      </c>
      <c r="E23" s="2292">
        <v>8704898.8629999999</v>
      </c>
      <c r="F23" s="2292"/>
      <c r="G23" s="2292"/>
      <c r="H23" s="2292"/>
      <c r="I23" s="2292"/>
      <c r="J23" s="2292"/>
      <c r="K23" s="2292"/>
      <c r="L23" s="2292"/>
      <c r="M23" s="2292"/>
      <c r="N23" s="2292"/>
      <c r="O23" s="2292"/>
      <c r="P23" s="2292"/>
      <c r="Q23" s="2292"/>
      <c r="R23" s="2292"/>
      <c r="S23" s="1697">
        <f t="shared" si="3"/>
        <v>98.064912482610893</v>
      </c>
      <c r="T23" s="2307"/>
      <c r="U23" s="2308"/>
    </row>
    <row r="24" spans="1:21" s="204" customFormat="1" ht="33" customHeight="1" x14ac:dyDescent="0.25">
      <c r="A24" s="2299">
        <v>14</v>
      </c>
      <c r="B24" s="101" t="s">
        <v>1494</v>
      </c>
      <c r="C24" s="2291">
        <f>'57_NĐ31'!C23</f>
        <v>18370533</v>
      </c>
      <c r="D24" s="2292">
        <f t="shared" si="2"/>
        <v>18226526.679000001</v>
      </c>
      <c r="E24" s="2292">
        <v>18226526.679000001</v>
      </c>
      <c r="F24" s="2292"/>
      <c r="G24" s="2292"/>
      <c r="H24" s="2292"/>
      <c r="I24" s="2292"/>
      <c r="J24" s="2292"/>
      <c r="K24" s="2292"/>
      <c r="L24" s="2292"/>
      <c r="M24" s="2292"/>
      <c r="N24" s="2292"/>
      <c r="O24" s="2292"/>
      <c r="P24" s="2292"/>
      <c r="Q24" s="2292"/>
      <c r="R24" s="2292"/>
      <c r="S24" s="1697">
        <f t="shared" si="3"/>
        <v>99.216101563302502</v>
      </c>
      <c r="U24" s="2308"/>
    </row>
    <row r="25" spans="1:21" s="204" customFormat="1" ht="33" customHeight="1" x14ac:dyDescent="0.25">
      <c r="A25" s="2299">
        <v>15</v>
      </c>
      <c r="B25" s="507" t="s">
        <v>1380</v>
      </c>
      <c r="C25" s="2291">
        <f>'57_NĐ31'!C24</f>
        <v>681285.58600000001</v>
      </c>
      <c r="D25" s="2292">
        <f>SUM(E25:M25,P25:R25)</f>
        <v>681285.58600000001</v>
      </c>
      <c r="E25" s="2292">
        <v>681285.58600000001</v>
      </c>
      <c r="F25" s="2292"/>
      <c r="G25" s="2292"/>
      <c r="H25" s="2292"/>
      <c r="I25" s="2292"/>
      <c r="J25" s="2292"/>
      <c r="K25" s="2292"/>
      <c r="L25" s="2292"/>
      <c r="M25" s="2292"/>
      <c r="N25" s="2292"/>
      <c r="O25" s="2292"/>
      <c r="P25" s="2292"/>
      <c r="Q25" s="2292"/>
      <c r="R25" s="2292"/>
      <c r="S25" s="1697">
        <f t="shared" ref="S25:S26" si="4">D25/C25%</f>
        <v>100</v>
      </c>
    </row>
    <row r="26" spans="1:21" s="204" customFormat="1" ht="33" customHeight="1" x14ac:dyDescent="0.25">
      <c r="A26" s="2299">
        <v>16</v>
      </c>
      <c r="B26" s="153" t="s">
        <v>1379</v>
      </c>
      <c r="C26" s="2291">
        <f>'57_NĐ31'!C25</f>
        <v>8017872.5140000004</v>
      </c>
      <c r="D26" s="2292">
        <f>SUM(E26:M26,P26:R26)</f>
        <v>8017872.5140000004</v>
      </c>
      <c r="E26" s="2291"/>
      <c r="F26" s="2291"/>
      <c r="G26" s="2291"/>
      <c r="H26" s="2291"/>
      <c r="I26" s="2291"/>
      <c r="J26" s="2291"/>
      <c r="K26" s="2291"/>
      <c r="L26" s="2291"/>
      <c r="M26" s="2291"/>
      <c r="N26" s="2291"/>
      <c r="O26" s="2291"/>
      <c r="P26" s="2291">
        <v>8017872.5140000004</v>
      </c>
      <c r="Q26" s="2291"/>
      <c r="R26" s="2291"/>
      <c r="S26" s="1697">
        <f t="shared" si="4"/>
        <v>100</v>
      </c>
    </row>
    <row r="27" spans="1:21" s="204" customFormat="1" ht="33" customHeight="1" x14ac:dyDescent="0.25">
      <c r="A27" s="2299">
        <v>17</v>
      </c>
      <c r="B27" s="507" t="s">
        <v>1381</v>
      </c>
      <c r="C27" s="2291">
        <f>'57_NĐ31'!C26</f>
        <v>4183314.3119999999</v>
      </c>
      <c r="D27" s="2292">
        <f>SUM(E27:M27,P27:R27)</f>
        <v>4183314.3119999999</v>
      </c>
      <c r="E27" s="2292"/>
      <c r="F27" s="2292"/>
      <c r="G27" s="2292"/>
      <c r="H27" s="2292"/>
      <c r="I27" s="2292"/>
      <c r="J27" s="2292"/>
      <c r="K27" s="2292"/>
      <c r="L27" s="2292"/>
      <c r="M27" s="2292"/>
      <c r="N27" s="2292"/>
      <c r="O27" s="2292"/>
      <c r="P27" s="2292">
        <v>4183314.3119999999</v>
      </c>
      <c r="Q27" s="2292"/>
      <c r="R27" s="2292"/>
      <c r="S27" s="1697">
        <f t="shared" ref="S27" si="5">D27/C27%</f>
        <v>100</v>
      </c>
    </row>
    <row r="28" spans="1:21" s="204" customFormat="1" ht="33" customHeight="1" x14ac:dyDescent="0.25">
      <c r="A28" s="2299">
        <v>18</v>
      </c>
      <c r="B28" s="364" t="s">
        <v>1520</v>
      </c>
      <c r="C28" s="2291">
        <f>'57_NĐ31'!C27</f>
        <v>438486</v>
      </c>
      <c r="D28" s="2292">
        <f>G28</f>
        <v>397152.21</v>
      </c>
      <c r="E28" s="2292"/>
      <c r="F28" s="2292"/>
      <c r="G28" s="2292">
        <f>438000-40847.79</f>
        <v>397152.21</v>
      </c>
      <c r="H28" s="2292"/>
      <c r="I28" s="2292"/>
      <c r="J28" s="2292"/>
      <c r="K28" s="2292"/>
      <c r="L28" s="2292"/>
      <c r="M28" s="2292"/>
      <c r="N28" s="2292"/>
      <c r="O28" s="2292"/>
      <c r="P28" s="2292"/>
      <c r="Q28" s="2292"/>
      <c r="R28" s="2292"/>
      <c r="S28" s="1049"/>
      <c r="T28" s="2309"/>
    </row>
    <row r="29" spans="1:21" s="204" customFormat="1" ht="33" customHeight="1" x14ac:dyDescent="0.25">
      <c r="A29" s="2299">
        <v>19</v>
      </c>
      <c r="B29" s="364" t="s">
        <v>1377</v>
      </c>
      <c r="C29" s="2291">
        <f>'57_NĐ31'!C28</f>
        <v>124325</v>
      </c>
      <c r="D29" s="2292">
        <f t="shared" ref="D29:D31" si="6">SUM(E29:M29,P29:R29)</f>
        <v>124325</v>
      </c>
      <c r="E29" s="2293"/>
      <c r="F29" s="2293"/>
      <c r="G29" s="2293"/>
      <c r="H29" s="2293"/>
      <c r="I29" s="2293"/>
      <c r="J29" s="2293"/>
      <c r="K29" s="2293"/>
      <c r="L29" s="2293"/>
      <c r="M29" s="2293"/>
      <c r="N29" s="2293"/>
      <c r="O29" s="2293"/>
      <c r="P29" s="2293"/>
      <c r="Q29" s="2293"/>
      <c r="R29" s="2291">
        <v>124325</v>
      </c>
      <c r="S29" s="1049">
        <f>D29/C29%</f>
        <v>100</v>
      </c>
    </row>
    <row r="30" spans="1:21" s="204" customFormat="1" ht="33" customHeight="1" x14ac:dyDescent="0.25">
      <c r="A30" s="2299">
        <v>20</v>
      </c>
      <c r="B30" s="364" t="s">
        <v>957</v>
      </c>
      <c r="C30" s="2291">
        <f>'57_NĐ31'!C29</f>
        <v>35000</v>
      </c>
      <c r="D30" s="2292">
        <f t="shared" si="6"/>
        <v>35000</v>
      </c>
      <c r="E30" s="2294"/>
      <c r="F30" s="2294"/>
      <c r="G30" s="2294"/>
      <c r="H30" s="2294"/>
      <c r="I30" s="2294"/>
      <c r="J30" s="2294"/>
      <c r="K30" s="2294"/>
      <c r="L30" s="2294"/>
      <c r="M30" s="2294"/>
      <c r="N30" s="2294"/>
      <c r="O30" s="2294"/>
      <c r="P30" s="2294"/>
      <c r="Q30" s="2294"/>
      <c r="R30" s="2294">
        <v>35000</v>
      </c>
      <c r="S30" s="364"/>
    </row>
    <row r="31" spans="1:21" s="204" customFormat="1" ht="33" customHeight="1" x14ac:dyDescent="0.25">
      <c r="A31" s="1698">
        <v>21</v>
      </c>
      <c r="B31" s="1440" t="s">
        <v>1496</v>
      </c>
      <c r="C31" s="2295">
        <f>'57_NĐ31'!C30</f>
        <v>35000</v>
      </c>
      <c r="D31" s="2296">
        <f t="shared" si="6"/>
        <v>35000</v>
      </c>
      <c r="E31" s="2297"/>
      <c r="F31" s="2297"/>
      <c r="G31" s="2297"/>
      <c r="H31" s="2297"/>
      <c r="I31" s="2297"/>
      <c r="J31" s="2297"/>
      <c r="K31" s="2297"/>
      <c r="L31" s="2297"/>
      <c r="M31" s="2297"/>
      <c r="N31" s="2297"/>
      <c r="O31" s="2297"/>
      <c r="P31" s="2297"/>
      <c r="Q31" s="2297"/>
      <c r="R31" s="2297">
        <v>35000</v>
      </c>
      <c r="S31" s="370"/>
    </row>
    <row r="32" spans="1:21" ht="44.25" hidden="1" customHeight="1" x14ac:dyDescent="0.25">
      <c r="A32" s="1738" t="s">
        <v>4</v>
      </c>
      <c r="B32" s="1737" t="s">
        <v>1908</v>
      </c>
      <c r="C32" s="1739"/>
      <c r="D32" s="1740"/>
      <c r="E32" s="1739"/>
      <c r="F32" s="1739"/>
      <c r="G32" s="1739"/>
      <c r="H32" s="1739"/>
      <c r="I32" s="1739"/>
      <c r="J32" s="1739"/>
      <c r="K32" s="1739"/>
      <c r="L32" s="1739"/>
      <c r="M32" s="1739"/>
      <c r="N32" s="1739"/>
      <c r="O32" s="1741"/>
      <c r="P32" s="1742"/>
      <c r="Q32" s="1739"/>
      <c r="R32" s="1743"/>
      <c r="S32" s="1739"/>
    </row>
  </sheetData>
  <mergeCells count="24">
    <mergeCell ref="A1:B1"/>
    <mergeCell ref="B6:B7"/>
    <mergeCell ref="C6:C7"/>
    <mergeCell ref="D6:D7"/>
    <mergeCell ref="E6:E7"/>
    <mergeCell ref="A2:S2"/>
    <mergeCell ref="Q1:S1"/>
    <mergeCell ref="F6:F7"/>
    <mergeCell ref="G6:G7"/>
    <mergeCell ref="H6:H7"/>
    <mergeCell ref="I6:I7"/>
    <mergeCell ref="J6:J7"/>
    <mergeCell ref="A4:S4"/>
    <mergeCell ref="A3:S3"/>
    <mergeCell ref="A6:A7"/>
    <mergeCell ref="S6:S7"/>
    <mergeCell ref="K6:K7"/>
    <mergeCell ref="L6:L7"/>
    <mergeCell ref="M6:M7"/>
    <mergeCell ref="Q5:S5"/>
    <mergeCell ref="Q6:Q7"/>
    <mergeCell ref="R6:R7"/>
    <mergeCell ref="N6:O6"/>
    <mergeCell ref="P6:P7"/>
  </mergeCells>
  <conditionalFormatting sqref="B28:B30">
    <cfRule type="colorScale" priority="21">
      <colorScale>
        <cfvo type="min"/>
        <cfvo type="percentile" val="50"/>
        <cfvo type="max"/>
        <color rgb="FFF8696B"/>
        <color rgb="FFFCFCFF"/>
        <color rgb="FF63BE7B"/>
      </colorScale>
    </cfRule>
  </conditionalFormatting>
  <printOptions horizontalCentered="1"/>
  <pageMargins left="0.118110236220472" right="0.118110236220472" top="0.52" bottom="0.683070866" header="0.31496062992126" footer="0.31496062992126"/>
  <pageSetup paperSize="9" scale="50" firstPageNumber="23" orientation="landscape" useFirstPageNumber="1" r:id="rId1"/>
  <headerFooter>
    <oddFooter>&amp;C&amp;P</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00FF"/>
  </sheetPr>
  <dimension ref="A1:V34"/>
  <sheetViews>
    <sheetView topLeftCell="C1" zoomScale="80" zoomScaleNormal="80" zoomScaleSheetLayoutView="100" workbookViewId="0">
      <selection activeCell="V1" sqref="V1"/>
    </sheetView>
  </sheetViews>
  <sheetFormatPr defaultColWidth="9.140625" defaultRowHeight="15" x14ac:dyDescent="0.25"/>
  <cols>
    <col min="1" max="1" width="4.140625" style="36" customWidth="1"/>
    <col min="2" max="2" width="23" style="36" customWidth="1"/>
    <col min="3" max="3" width="9.140625" style="36" customWidth="1"/>
    <col min="4" max="4" width="6" style="36" customWidth="1"/>
    <col min="5" max="5" width="9.28515625" style="36" customWidth="1"/>
    <col min="6" max="6" width="7.28515625" style="36" customWidth="1"/>
    <col min="7" max="7" width="11.85546875" style="36" customWidth="1"/>
    <col min="8" max="8" width="6.85546875" style="36" customWidth="1"/>
    <col min="9" max="9" width="6.5703125" style="36" customWidth="1"/>
    <col min="10" max="10" width="11.5703125" style="36" customWidth="1"/>
    <col min="11" max="11" width="6.5703125" style="36" customWidth="1"/>
    <col min="12" max="13" width="9.7109375" style="36" customWidth="1"/>
    <col min="14" max="14" width="8.5703125" style="36" customWidth="1"/>
    <col min="15" max="15" width="11.28515625" style="36" customWidth="1"/>
    <col min="16" max="16" width="8.42578125" style="36" customWidth="1"/>
    <col min="17" max="17" width="7.140625" style="36" customWidth="1"/>
    <col min="18" max="18" width="5.7109375" style="36" customWidth="1"/>
    <col min="19" max="19" width="6.5703125" style="36" customWidth="1"/>
    <col min="20" max="20" width="4" style="36" customWidth="1"/>
    <col min="21" max="21" width="22.140625" style="36" customWidth="1"/>
    <col min="22" max="22" width="15.140625" style="36" customWidth="1"/>
    <col min="23" max="16384" width="9.140625" style="36"/>
  </cols>
  <sheetData>
    <row r="1" spans="1:22" ht="15.75" x14ac:dyDescent="0.25">
      <c r="A1" s="44" t="str">
        <f>'48_NĐ31'!A1</f>
        <v xml:space="preserve">UBND PHƯỜNG BẮC KẠN </v>
      </c>
      <c r="T1" s="2"/>
      <c r="U1" s="36" t="s">
        <v>968</v>
      </c>
      <c r="V1" s="1344" t="s">
        <v>1387</v>
      </c>
    </row>
    <row r="2" spans="1:22" ht="17.25" customHeight="1" x14ac:dyDescent="0.25">
      <c r="A2" s="3132" t="s">
        <v>735</v>
      </c>
      <c r="B2" s="3132"/>
      <c r="C2" s="3132"/>
      <c r="D2" s="3132"/>
      <c r="E2" s="3132"/>
      <c r="F2" s="3132"/>
      <c r="G2" s="3132"/>
      <c r="H2" s="3132"/>
      <c r="I2" s="3132"/>
      <c r="J2" s="3132"/>
      <c r="K2" s="3132"/>
      <c r="L2" s="3132"/>
      <c r="M2" s="3132"/>
      <c r="N2" s="3132"/>
      <c r="O2" s="3132"/>
      <c r="P2" s="3132"/>
      <c r="Q2" s="3132"/>
      <c r="R2" s="3132"/>
      <c r="S2" s="3132"/>
      <c r="T2" s="3132"/>
    </row>
    <row r="3" spans="1:22" ht="17.25" customHeight="1" x14ac:dyDescent="0.25">
      <c r="A3" s="3133" t="str">
        <f>'48_NĐ31'!A4:G4</f>
        <v>(Kèm theo Quyết định số          /QĐ-UBND ngày          /4/2026 của UBND phường Bắc Kạn)</v>
      </c>
      <c r="B3" s="3133"/>
      <c r="C3" s="3133"/>
      <c r="D3" s="3133"/>
      <c r="E3" s="3133"/>
      <c r="F3" s="3133"/>
      <c r="G3" s="3133"/>
      <c r="H3" s="3133"/>
      <c r="I3" s="3133"/>
      <c r="J3" s="3133"/>
      <c r="K3" s="3133"/>
      <c r="L3" s="3133"/>
      <c r="M3" s="3133"/>
      <c r="N3" s="3133"/>
      <c r="O3" s="3133"/>
      <c r="P3" s="3133"/>
      <c r="Q3" s="3133"/>
      <c r="R3" s="3133"/>
      <c r="S3" s="3133"/>
      <c r="T3" s="3133"/>
    </row>
    <row r="4" spans="1:22" ht="15.75" x14ac:dyDescent="0.25">
      <c r="T4" s="64" t="s">
        <v>1187</v>
      </c>
    </row>
    <row r="5" spans="1:22" s="119" customFormat="1" ht="26.45" customHeight="1" x14ac:dyDescent="0.2">
      <c r="A5" s="3149" t="s">
        <v>0</v>
      </c>
      <c r="B5" s="3149" t="s">
        <v>454</v>
      </c>
      <c r="C5" s="3149" t="s">
        <v>529</v>
      </c>
      <c r="D5" s="3149"/>
      <c r="E5" s="3149"/>
      <c r="F5" s="3149"/>
      <c r="G5" s="3149" t="s">
        <v>400</v>
      </c>
      <c r="H5" s="3149"/>
      <c r="I5" s="3149"/>
      <c r="J5" s="3149"/>
      <c r="K5" s="3149"/>
      <c r="L5" s="3149"/>
      <c r="M5" s="3149"/>
      <c r="N5" s="3149"/>
      <c r="O5" s="3149"/>
      <c r="P5" s="3149"/>
      <c r="Q5" s="3149" t="s">
        <v>414</v>
      </c>
      <c r="R5" s="3149"/>
      <c r="S5" s="3149"/>
      <c r="T5" s="3149"/>
    </row>
    <row r="6" spans="1:22" s="168" customFormat="1" ht="27" customHeight="1" x14ac:dyDescent="0.2">
      <c r="A6" s="3149"/>
      <c r="B6" s="3149"/>
      <c r="C6" s="3149" t="s">
        <v>13</v>
      </c>
      <c r="D6" s="3149" t="s">
        <v>27</v>
      </c>
      <c r="E6" s="3173" t="s">
        <v>28</v>
      </c>
      <c r="F6" s="3149" t="s">
        <v>528</v>
      </c>
      <c r="G6" s="3149" t="s">
        <v>13</v>
      </c>
      <c r="H6" s="3176" t="s">
        <v>27</v>
      </c>
      <c r="I6" s="3176"/>
      <c r="J6" s="3176" t="s">
        <v>28</v>
      </c>
      <c r="K6" s="3176"/>
      <c r="L6" s="3176" t="s">
        <v>455</v>
      </c>
      <c r="M6" s="3176"/>
      <c r="N6" s="3176"/>
      <c r="O6" s="3149" t="s">
        <v>65</v>
      </c>
      <c r="P6" s="3149" t="s">
        <v>489</v>
      </c>
      <c r="Q6" s="3149" t="s">
        <v>13</v>
      </c>
      <c r="R6" s="3149" t="s">
        <v>27</v>
      </c>
      <c r="S6" s="3173" t="s">
        <v>28</v>
      </c>
      <c r="T6" s="3149" t="s">
        <v>528</v>
      </c>
    </row>
    <row r="7" spans="1:22" s="168" customFormat="1" ht="29.25" customHeight="1" x14ac:dyDescent="0.2">
      <c r="A7" s="3149"/>
      <c r="B7" s="3149"/>
      <c r="C7" s="3149"/>
      <c r="D7" s="3149"/>
      <c r="E7" s="3174"/>
      <c r="F7" s="3149"/>
      <c r="G7" s="3149"/>
      <c r="H7" s="3149" t="s">
        <v>13</v>
      </c>
      <c r="I7" s="330" t="s">
        <v>47</v>
      </c>
      <c r="J7" s="3149" t="s">
        <v>13</v>
      </c>
      <c r="K7" s="330" t="s">
        <v>47</v>
      </c>
      <c r="L7" s="3149" t="s">
        <v>13</v>
      </c>
      <c r="M7" s="3176" t="s">
        <v>47</v>
      </c>
      <c r="N7" s="3176"/>
      <c r="O7" s="3149"/>
      <c r="P7" s="3149"/>
      <c r="Q7" s="3149"/>
      <c r="R7" s="3149"/>
      <c r="S7" s="3174"/>
      <c r="T7" s="3149"/>
    </row>
    <row r="8" spans="1:22" s="119" customFormat="1" ht="78" customHeight="1" x14ac:dyDescent="0.2">
      <c r="A8" s="3149"/>
      <c r="B8" s="3149"/>
      <c r="C8" s="3149"/>
      <c r="D8" s="3149"/>
      <c r="E8" s="3175"/>
      <c r="F8" s="3149"/>
      <c r="G8" s="3149"/>
      <c r="H8" s="3149"/>
      <c r="I8" s="209" t="s">
        <v>456</v>
      </c>
      <c r="J8" s="3149"/>
      <c r="K8" s="209" t="s">
        <v>456</v>
      </c>
      <c r="L8" s="3149"/>
      <c r="M8" s="130" t="s">
        <v>27</v>
      </c>
      <c r="N8" s="130" t="s">
        <v>28</v>
      </c>
      <c r="O8" s="3149"/>
      <c r="P8" s="3149"/>
      <c r="Q8" s="3149"/>
      <c r="R8" s="3149"/>
      <c r="S8" s="3175"/>
      <c r="T8" s="3149"/>
    </row>
    <row r="9" spans="1:22" s="119" customFormat="1" ht="25.9" customHeight="1" x14ac:dyDescent="0.2">
      <c r="A9" s="210" t="s">
        <v>3</v>
      </c>
      <c r="B9" s="210" t="s">
        <v>4</v>
      </c>
      <c r="C9" s="210">
        <v>1</v>
      </c>
      <c r="D9" s="210">
        <v>2</v>
      </c>
      <c r="E9" s="210">
        <v>3</v>
      </c>
      <c r="F9" s="210">
        <v>4</v>
      </c>
      <c r="G9" s="210">
        <v>5</v>
      </c>
      <c r="H9" s="210">
        <v>6</v>
      </c>
      <c r="I9" s="210">
        <v>7</v>
      </c>
      <c r="J9" s="210">
        <v>8</v>
      </c>
      <c r="K9" s="210">
        <v>9</v>
      </c>
      <c r="L9" s="210">
        <v>10</v>
      </c>
      <c r="M9" s="210">
        <v>11</v>
      </c>
      <c r="N9" s="210">
        <v>12</v>
      </c>
      <c r="O9" s="210">
        <v>13</v>
      </c>
      <c r="P9" s="210">
        <v>14</v>
      </c>
      <c r="Q9" s="432" t="s">
        <v>633</v>
      </c>
      <c r="R9" s="432" t="s">
        <v>634</v>
      </c>
      <c r="S9" s="432" t="s">
        <v>635</v>
      </c>
      <c r="T9" s="432" t="s">
        <v>636</v>
      </c>
    </row>
    <row r="10" spans="1:22" s="190" customFormat="1" ht="38.25" customHeight="1" x14ac:dyDescent="0.2">
      <c r="A10" s="131"/>
      <c r="B10" s="247" t="s">
        <v>29</v>
      </c>
      <c r="C10" s="239">
        <f>SUM(C11:C18)</f>
        <v>49052</v>
      </c>
      <c r="D10" s="239"/>
      <c r="E10" s="239">
        <f>SUM(E11:E18)</f>
        <v>48528</v>
      </c>
      <c r="F10" s="239">
        <f>SUM(F11:F18)</f>
        <v>524</v>
      </c>
      <c r="G10" s="239" t="e">
        <f>SUM(G11:G18)</f>
        <v>#REF!</v>
      </c>
      <c r="H10" s="239">
        <f>SUM(H11:H18)</f>
        <v>35.519641</v>
      </c>
      <c r="I10" s="239"/>
      <c r="J10" s="239" t="e">
        <f>SUM(J11:J18)</f>
        <v>#REF!</v>
      </c>
      <c r="K10" s="1045"/>
      <c r="L10" s="239" t="e">
        <f>SUM(L11:L18)</f>
        <v>#REF!</v>
      </c>
      <c r="M10" s="239">
        <f t="shared" ref="M10:N10" si="0">SUM(M11:M18)</f>
        <v>286784.97399999999</v>
      </c>
      <c r="N10" s="239" t="e">
        <f t="shared" si="0"/>
        <v>#REF!</v>
      </c>
      <c r="O10" s="239">
        <f>SUM(O11:O18)</f>
        <v>10834.379973000001</v>
      </c>
      <c r="P10" s="511">
        <f>SUM(P11:P18)</f>
        <v>296.90196200000003</v>
      </c>
      <c r="Q10" s="406" t="e">
        <f t="shared" ref="Q10:Q18" si="1">G10/C10%</f>
        <v>#REF!</v>
      </c>
      <c r="R10" s="406"/>
      <c r="S10" s="406" t="e">
        <f t="shared" ref="S10:S16" si="2">J10/E10%</f>
        <v>#REF!</v>
      </c>
      <c r="T10" s="406"/>
      <c r="U10" s="552"/>
    </row>
    <row r="11" spans="1:22" s="119" customFormat="1" ht="36.75" customHeight="1" x14ac:dyDescent="0.2">
      <c r="A11" s="137">
        <v>1</v>
      </c>
      <c r="B11" s="553" t="s">
        <v>522</v>
      </c>
      <c r="C11" s="154">
        <f t="shared" ref="C11:C18" si="3">SUM(D11:F11)</f>
        <v>6818</v>
      </c>
      <c r="D11" s="154"/>
      <c r="E11" s="154">
        <f>6818</f>
        <v>6818</v>
      </c>
      <c r="F11" s="154">
        <v>0</v>
      </c>
      <c r="G11" s="154" t="e">
        <f>H11+J11+L11+O11+P11</f>
        <v>#REF!</v>
      </c>
      <c r="H11" s="154"/>
      <c r="I11" s="154"/>
      <c r="J11" s="154" t="e">
        <f>9147.686071-L11-O11-P11</f>
        <v>#REF!</v>
      </c>
      <c r="K11" s="1046"/>
      <c r="L11" s="154" t="e">
        <f>SUM(M11:N11)</f>
        <v>#REF!</v>
      </c>
      <c r="M11" s="154"/>
      <c r="N11" s="154" t="e">
        <f>'61_NĐ31'!#REF!</f>
        <v>#REF!</v>
      </c>
      <c r="O11" s="154">
        <v>843.30411400000003</v>
      </c>
      <c r="P11" s="565"/>
      <c r="Q11" s="1047" t="e">
        <f>G11/C11%</f>
        <v>#REF!</v>
      </c>
      <c r="R11" s="1047"/>
      <c r="S11" s="1047" t="e">
        <f t="shared" si="2"/>
        <v>#REF!</v>
      </c>
      <c r="T11" s="1047"/>
      <c r="U11" s="554"/>
    </row>
    <row r="12" spans="1:22" s="119" customFormat="1" ht="41.25" customHeight="1" x14ac:dyDescent="0.2">
      <c r="A12" s="137">
        <v>2</v>
      </c>
      <c r="B12" s="553" t="s">
        <v>523</v>
      </c>
      <c r="C12" s="154">
        <f t="shared" si="3"/>
        <v>6727</v>
      </c>
      <c r="D12" s="154"/>
      <c r="E12" s="154">
        <f>6727</f>
        <v>6727</v>
      </c>
      <c r="F12" s="154">
        <v>0</v>
      </c>
      <c r="G12" s="154" t="e">
        <f t="shared" ref="G12:G14" si="4">H12+J12+L12+O12+P12</f>
        <v>#REF!</v>
      </c>
      <c r="H12" s="154">
        <v>0</v>
      </c>
      <c r="I12" s="154"/>
      <c r="J12" s="154" t="e">
        <f>9270.153869-L12-O12-P12</f>
        <v>#REF!</v>
      </c>
      <c r="K12" s="1046"/>
      <c r="L12" s="154" t="e">
        <f t="shared" ref="L12:L14" si="5">SUM(M12:N12)</f>
        <v>#REF!</v>
      </c>
      <c r="M12" s="154"/>
      <c r="N12" s="154" t="e">
        <f>'61_NĐ31'!#REF!</f>
        <v>#REF!</v>
      </c>
      <c r="O12" s="154">
        <v>757.76575000000003</v>
      </c>
      <c r="P12" s="565"/>
      <c r="Q12" s="1047" t="e">
        <f t="shared" si="1"/>
        <v>#REF!</v>
      </c>
      <c r="R12" s="1047"/>
      <c r="S12" s="1047" t="e">
        <f t="shared" si="2"/>
        <v>#REF!</v>
      </c>
      <c r="T12" s="1047"/>
      <c r="U12" s="554"/>
    </row>
    <row r="13" spans="1:22" s="119" customFormat="1" ht="50.25" customHeight="1" x14ac:dyDescent="0.2">
      <c r="A13" s="137">
        <v>3</v>
      </c>
      <c r="B13" s="153" t="s">
        <v>576</v>
      </c>
      <c r="C13" s="154">
        <f t="shared" si="3"/>
        <v>5702</v>
      </c>
      <c r="D13" s="154"/>
      <c r="E13" s="154">
        <v>5702</v>
      </c>
      <c r="F13" s="154">
        <v>0</v>
      </c>
      <c r="G13" s="154" t="e">
        <f t="shared" si="4"/>
        <v>#REF!</v>
      </c>
      <c r="H13" s="154">
        <v>0</v>
      </c>
      <c r="I13" s="154"/>
      <c r="J13" s="154" t="e">
        <f>8641.295231-O13-P13-L13</f>
        <v>#REF!</v>
      </c>
      <c r="K13" s="1046"/>
      <c r="L13" s="154" t="e">
        <f t="shared" si="5"/>
        <v>#REF!</v>
      </c>
      <c r="M13" s="154"/>
      <c r="N13" s="154" t="e">
        <f>'61_NĐ31'!#REF!</f>
        <v>#REF!</v>
      </c>
      <c r="O13" s="154">
        <v>1859.1387340000001</v>
      </c>
      <c r="P13" s="565"/>
      <c r="Q13" s="1047" t="e">
        <f t="shared" si="1"/>
        <v>#REF!</v>
      </c>
      <c r="R13" s="1047"/>
      <c r="S13" s="1047" t="e">
        <f t="shared" si="2"/>
        <v>#REF!</v>
      </c>
      <c r="T13" s="1047"/>
      <c r="U13" s="554"/>
      <c r="V13" s="554"/>
    </row>
    <row r="14" spans="1:22" s="119" customFormat="1" ht="49.5" customHeight="1" x14ac:dyDescent="0.2">
      <c r="A14" s="137">
        <v>4</v>
      </c>
      <c r="B14" s="153" t="s">
        <v>600</v>
      </c>
      <c r="C14" s="154">
        <f t="shared" si="3"/>
        <v>6075</v>
      </c>
      <c r="D14" s="154"/>
      <c r="E14" s="154">
        <f>6075</f>
        <v>6075</v>
      </c>
      <c r="F14" s="154">
        <v>0</v>
      </c>
      <c r="G14" s="154" t="e">
        <f t="shared" si="4"/>
        <v>#REF!</v>
      </c>
      <c r="H14" s="154">
        <v>0</v>
      </c>
      <c r="I14" s="154"/>
      <c r="J14" s="154" t="e">
        <f>9337.856867-O14-P14-L14</f>
        <v>#REF!</v>
      </c>
      <c r="K14" s="1046"/>
      <c r="L14" s="154" t="e">
        <f t="shared" si="5"/>
        <v>#REF!</v>
      </c>
      <c r="M14" s="154"/>
      <c r="N14" s="154" t="e">
        <f>'61_NĐ31'!#REF!</f>
        <v>#REF!</v>
      </c>
      <c r="O14" s="154">
        <v>2275.5693289999999</v>
      </c>
      <c r="P14" s="565"/>
      <c r="Q14" s="1047" t="e">
        <f t="shared" si="1"/>
        <v>#REF!</v>
      </c>
      <c r="R14" s="1047"/>
      <c r="S14" s="1047" t="e">
        <f t="shared" si="2"/>
        <v>#REF!</v>
      </c>
      <c r="T14" s="1047"/>
    </row>
    <row r="15" spans="1:22" s="119" customFormat="1" ht="44.25" customHeight="1" x14ac:dyDescent="0.2">
      <c r="A15" s="138">
        <v>5</v>
      </c>
      <c r="B15" s="153" t="s">
        <v>524</v>
      </c>
      <c r="C15" s="154">
        <f t="shared" si="3"/>
        <v>6963</v>
      </c>
      <c r="D15" s="158"/>
      <c r="E15" s="154">
        <f>6963-F15</f>
        <v>6539</v>
      </c>
      <c r="F15" s="158">
        <f>'5.12'!H15+'5.12'!J15</f>
        <v>424</v>
      </c>
      <c r="G15" s="154">
        <f>H15+J15+L15+O15+P15</f>
        <v>9349.0584060000165</v>
      </c>
      <c r="H15" s="154">
        <v>0</v>
      </c>
      <c r="I15" s="158"/>
      <c r="J15" s="154">
        <f>9349.058406-L15-O15-P15</f>
        <v>-905380.03936299996</v>
      </c>
      <c r="K15" s="1048"/>
      <c r="L15" s="154">
        <f>SUM(M15:N15)</f>
        <v>913948.27399999998</v>
      </c>
      <c r="M15" s="158">
        <f>'61_NĐ31'!G15</f>
        <v>286784.97399999999</v>
      </c>
      <c r="N15" s="158">
        <f>'61_NĐ31'!H15</f>
        <v>627163.30000000005</v>
      </c>
      <c r="O15" s="158">
        <v>732.01551900000004</v>
      </c>
      <c r="P15" s="1335">
        <v>48.808250000000001</v>
      </c>
      <c r="Q15" s="1049">
        <f t="shared" si="1"/>
        <v>134.26767781128848</v>
      </c>
      <c r="R15" s="1049"/>
      <c r="S15" s="1049">
        <f t="shared" si="2"/>
        <v>-13845.848590961919</v>
      </c>
      <c r="T15" s="1049"/>
    </row>
    <row r="16" spans="1:22" s="119" customFormat="1" ht="40.5" customHeight="1" x14ac:dyDescent="0.2">
      <c r="A16" s="138">
        <v>6</v>
      </c>
      <c r="B16" s="153" t="s">
        <v>525</v>
      </c>
      <c r="C16" s="154">
        <f>SUM(D16:F16)</f>
        <v>5390</v>
      </c>
      <c r="D16" s="158"/>
      <c r="E16" s="154">
        <v>5390</v>
      </c>
      <c r="F16" s="158">
        <v>0</v>
      </c>
      <c r="G16" s="154" t="e">
        <f>H16+J16+L16+O16+P16</f>
        <v>#REF!</v>
      </c>
      <c r="H16" s="154">
        <v>0</v>
      </c>
      <c r="I16" s="158"/>
      <c r="J16" s="154" t="e">
        <f>6710.803657-O16-P16-L16</f>
        <v>#REF!</v>
      </c>
      <c r="K16" s="1048"/>
      <c r="L16" s="154" t="e">
        <f>SUM(M16:N16)</f>
        <v>#REF!</v>
      </c>
      <c r="M16" s="158"/>
      <c r="N16" s="158" t="e">
        <f>'61_NĐ31'!#REF!</f>
        <v>#REF!</v>
      </c>
      <c r="O16" s="158">
        <v>691.81207900000004</v>
      </c>
      <c r="P16" s="1335">
        <v>116.688</v>
      </c>
      <c r="Q16" s="1049" t="e">
        <f t="shared" si="1"/>
        <v>#REF!</v>
      </c>
      <c r="R16" s="1049"/>
      <c r="S16" s="1049" t="e">
        <f t="shared" si="2"/>
        <v>#REF!</v>
      </c>
      <c r="T16" s="1049"/>
    </row>
    <row r="17" spans="1:21" s="119" customFormat="1" ht="40.5" customHeight="1" x14ac:dyDescent="0.2">
      <c r="A17" s="138">
        <v>7</v>
      </c>
      <c r="B17" s="153" t="s">
        <v>526</v>
      </c>
      <c r="C17" s="154">
        <f t="shared" si="3"/>
        <v>6078</v>
      </c>
      <c r="D17" s="158"/>
      <c r="E17" s="154">
        <f>6078-F17</f>
        <v>6058</v>
      </c>
      <c r="F17" s="158">
        <f>'5.12'!H17+'5.12'!J17</f>
        <v>20</v>
      </c>
      <c r="G17" s="154">
        <f>H17+J17+L17+O17+P17</f>
        <v>10436.994044999978</v>
      </c>
      <c r="H17" s="158">
        <v>35.519641</v>
      </c>
      <c r="I17" s="158"/>
      <c r="J17" s="154">
        <f>10436.994045-L17-O17-P17-H17</f>
        <v>-162253.24140500001</v>
      </c>
      <c r="K17" s="158"/>
      <c r="L17" s="154">
        <f>SUM(M17:N17)</f>
        <v>170649.4</v>
      </c>
      <c r="M17" s="158">
        <f>'61_NĐ31'!G13</f>
        <v>0</v>
      </c>
      <c r="N17" s="158">
        <f>'61_NĐ31'!H13</f>
        <v>170649.4</v>
      </c>
      <c r="O17" s="158">
        <v>1961.86256</v>
      </c>
      <c r="P17" s="1335">
        <v>43.453249</v>
      </c>
      <c r="Q17" s="1049">
        <f t="shared" si="1"/>
        <v>171.71757230997002</v>
      </c>
      <c r="R17" s="1049"/>
      <c r="S17" s="1049">
        <f>J17/E18%</f>
        <v>-3108.8952175704162</v>
      </c>
      <c r="T17" s="1049"/>
      <c r="U17" s="439"/>
    </row>
    <row r="18" spans="1:21" s="119" customFormat="1" ht="39.75" customHeight="1" x14ac:dyDescent="0.2">
      <c r="A18" s="117">
        <v>8</v>
      </c>
      <c r="B18" s="159" t="s">
        <v>527</v>
      </c>
      <c r="C18" s="160">
        <f t="shared" si="3"/>
        <v>5299</v>
      </c>
      <c r="D18" s="160"/>
      <c r="E18" s="160">
        <f>5299-F18</f>
        <v>5219</v>
      </c>
      <c r="F18" s="160">
        <f>'5.12'!H18+'5.12'!J18</f>
        <v>80</v>
      </c>
      <c r="G18" s="1087">
        <f>H18+J18+L18+O18+P18</f>
        <v>8912.77617500001</v>
      </c>
      <c r="H18" s="160">
        <v>0</v>
      </c>
      <c r="I18" s="160"/>
      <c r="J18" s="160">
        <f>8912.776175-L18-O18-P18</f>
        <v>-369359.10817600001</v>
      </c>
      <c r="K18" s="1087"/>
      <c r="L18" s="160">
        <f>SUM(M18:N18)</f>
        <v>376471.02</v>
      </c>
      <c r="M18" s="160">
        <f>'61_NĐ31'!G14</f>
        <v>0</v>
      </c>
      <c r="N18" s="160">
        <f>'61_NĐ31'!H14</f>
        <v>376471.02</v>
      </c>
      <c r="O18" s="160">
        <f>1712.911888</f>
        <v>1712.9118880000001</v>
      </c>
      <c r="P18" s="1336">
        <v>87.952462999999995</v>
      </c>
      <c r="Q18" s="580">
        <f t="shared" si="1"/>
        <v>168.19732355161369</v>
      </c>
      <c r="R18" s="580"/>
      <c r="S18" s="580">
        <f>J18/E18%</f>
        <v>-7077.2007698026446</v>
      </c>
      <c r="T18" s="580"/>
      <c r="U18" s="439"/>
    </row>
    <row r="19" spans="1:21" x14ac:dyDescent="0.25">
      <c r="J19" s="46"/>
      <c r="U19" s="501"/>
    </row>
    <row r="20" spans="1:21" x14ac:dyDescent="0.25">
      <c r="G20" s="434"/>
      <c r="H20" s="289"/>
      <c r="I20" s="289"/>
      <c r="J20" s="155"/>
      <c r="L20" s="338"/>
    </row>
    <row r="21" spans="1:21" x14ac:dyDescent="0.25">
      <c r="G21" s="434"/>
      <c r="H21" s="289"/>
      <c r="I21" s="289"/>
      <c r="J21" s="289"/>
      <c r="N21" s="591"/>
    </row>
    <row r="22" spans="1:21" x14ac:dyDescent="0.25">
      <c r="G22" s="434"/>
      <c r="J22" s="435"/>
      <c r="L22" s="338"/>
      <c r="N22" s="591"/>
      <c r="P22" s="589"/>
    </row>
    <row r="23" spans="1:21" x14ac:dyDescent="0.25">
      <c r="G23" s="436"/>
      <c r="J23" s="304"/>
      <c r="L23" s="338"/>
      <c r="N23" s="591"/>
    </row>
    <row r="24" spans="1:21" x14ac:dyDescent="0.25">
      <c r="G24" s="302"/>
      <c r="J24" s="304"/>
      <c r="L24" s="304"/>
      <c r="O24" s="592"/>
    </row>
    <row r="25" spans="1:21" x14ac:dyDescent="0.25">
      <c r="G25" s="437"/>
      <c r="J25" s="304"/>
      <c r="L25" s="297"/>
      <c r="O25" s="592"/>
    </row>
    <row r="26" spans="1:21" x14ac:dyDescent="0.25">
      <c r="J26" s="304"/>
      <c r="O26" s="592"/>
    </row>
    <row r="27" spans="1:21" x14ac:dyDescent="0.25">
      <c r="J27" s="304"/>
      <c r="O27" s="592"/>
    </row>
    <row r="28" spans="1:21" x14ac:dyDescent="0.25">
      <c r="G28" s="304"/>
      <c r="J28" s="304"/>
      <c r="O28" s="592"/>
    </row>
    <row r="29" spans="1:21" x14ac:dyDescent="0.25">
      <c r="G29" s="304"/>
      <c r="J29" s="289"/>
      <c r="O29" s="592"/>
    </row>
    <row r="30" spans="1:21" x14ac:dyDescent="0.25">
      <c r="G30" s="438"/>
      <c r="J30" s="289"/>
    </row>
    <row r="31" spans="1:21" x14ac:dyDescent="0.25">
      <c r="J31" s="289"/>
    </row>
    <row r="32" spans="1:21" x14ac:dyDescent="0.25">
      <c r="J32" s="289"/>
    </row>
    <row r="33" spans="10:10" x14ac:dyDescent="0.25">
      <c r="J33" s="289"/>
    </row>
    <row r="34" spans="10:10" x14ac:dyDescent="0.25">
      <c r="J34" s="289"/>
    </row>
  </sheetData>
  <mergeCells count="25">
    <mergeCell ref="A2:T2"/>
    <mergeCell ref="A5:A8"/>
    <mergeCell ref="B5:B8"/>
    <mergeCell ref="C5:F5"/>
    <mergeCell ref="G5:P5"/>
    <mergeCell ref="Q5:T5"/>
    <mergeCell ref="C6:C8"/>
    <mergeCell ref="D6:D8"/>
    <mergeCell ref="F6:F8"/>
    <mergeCell ref="G6:G8"/>
    <mergeCell ref="H6:I6"/>
    <mergeCell ref="R6:R8"/>
    <mergeCell ref="T6:T8"/>
    <mergeCell ref="E6:E8"/>
    <mergeCell ref="A3:T3"/>
    <mergeCell ref="H7:H8"/>
    <mergeCell ref="S6:S8"/>
    <mergeCell ref="J7:J8"/>
    <mergeCell ref="L7:L8"/>
    <mergeCell ref="M7:N7"/>
    <mergeCell ref="Q6:Q8"/>
    <mergeCell ref="J6:K6"/>
    <mergeCell ref="L6:N6"/>
    <mergeCell ref="P6:P8"/>
    <mergeCell ref="O6:O8"/>
  </mergeCells>
  <printOptions horizontalCentered="1"/>
  <pageMargins left="0.47244094488188981" right="0.47244094488188981" top="0.59055118110236227" bottom="0.59055118110236227" header="0.31496062992125984" footer="0.31496062992125984"/>
  <pageSetup paperSize="9" scale="80" firstPageNumber="32" orientation="landscape" useFirstPageNumber="1" r:id="rId1"/>
  <headerFooter>
    <oddHeader>&amp;RBiểu số 5.11</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00FF"/>
  </sheetPr>
  <dimension ref="A1:AC33"/>
  <sheetViews>
    <sheetView topLeftCell="Q1" zoomScale="80" zoomScaleNormal="80" zoomScaleSheetLayoutView="100" zoomScalePageLayoutView="85" workbookViewId="0">
      <selection activeCell="AB1" sqref="AB1"/>
    </sheetView>
  </sheetViews>
  <sheetFormatPr defaultColWidth="8.85546875" defaultRowHeight="15" x14ac:dyDescent="0.25"/>
  <cols>
    <col min="1" max="1" width="4" style="103" customWidth="1"/>
    <col min="2" max="2" width="22.140625" style="103" customWidth="1"/>
    <col min="3" max="3" width="8.85546875" style="103" customWidth="1"/>
    <col min="4" max="4" width="10.140625" style="103" customWidth="1"/>
    <col min="5" max="5" width="8.28515625" style="103" customWidth="1"/>
    <col min="6" max="6" width="5.42578125" style="103" customWidth="1"/>
    <col min="7" max="7" width="7.7109375" style="103" customWidth="1"/>
    <col min="8" max="8" width="7.28515625" style="103" customWidth="1"/>
    <col min="9" max="9" width="8.140625" style="103" customWidth="1"/>
    <col min="10" max="10" width="5.7109375" style="103" customWidth="1"/>
    <col min="11" max="11" width="10.7109375" style="103" customWidth="1"/>
    <col min="12" max="12" width="11.5703125" style="103" customWidth="1"/>
    <col min="13" max="13" width="11.42578125" style="103" customWidth="1"/>
    <col min="14" max="14" width="5.85546875" style="103" customWidth="1"/>
    <col min="15" max="15" width="9.28515625" style="103" customWidth="1"/>
    <col min="16" max="16" width="8.7109375" style="103" customWidth="1"/>
    <col min="17" max="17" width="10" style="103" customWidth="1"/>
    <col min="18" max="18" width="11" style="103" customWidth="1"/>
    <col min="19" max="19" width="9" style="103" customWidth="1"/>
    <col min="20" max="20" width="7.28515625" style="103" customWidth="1"/>
    <col min="21" max="21" width="7.42578125" style="103" customWidth="1"/>
    <col min="22" max="22" width="5.140625" style="103" customWidth="1"/>
    <col min="23" max="23" width="9.140625" style="103" customWidth="1"/>
    <col min="24" max="24" width="5.140625" style="103" customWidth="1"/>
    <col min="25" max="25" width="7.5703125" style="103" customWidth="1"/>
    <col min="26" max="26" width="6.140625" style="103" customWidth="1"/>
    <col min="27" max="27" width="8.85546875" style="103"/>
    <col min="28" max="28" width="21.85546875" style="445" customWidth="1"/>
    <col min="29" max="29" width="18.7109375" style="103" customWidth="1"/>
    <col min="30" max="30" width="13.42578125" style="103" customWidth="1"/>
    <col min="31" max="32" width="8.85546875" style="103" customWidth="1"/>
    <col min="33" max="33" width="14.140625" style="103" customWidth="1"/>
    <col min="34" max="16384" width="8.85546875" style="103"/>
  </cols>
  <sheetData>
    <row r="1" spans="1:29" ht="15.75" x14ac:dyDescent="0.25">
      <c r="A1" s="44" t="str">
        <f>'48_NĐ31'!A1</f>
        <v xml:space="preserve">UBND PHƯỜNG BẮC KẠN </v>
      </c>
      <c r="W1" s="44" t="s">
        <v>969</v>
      </c>
      <c r="Z1" s="2"/>
      <c r="AB1" s="1344" t="s">
        <v>1387</v>
      </c>
    </row>
    <row r="2" spans="1:29" ht="18.75" customHeight="1" x14ac:dyDescent="0.25">
      <c r="A2" s="3132" t="s">
        <v>1376</v>
      </c>
      <c r="B2" s="3132"/>
      <c r="C2" s="3132"/>
      <c r="D2" s="3132"/>
      <c r="E2" s="3132"/>
      <c r="F2" s="3132"/>
      <c r="G2" s="3132"/>
      <c r="H2" s="3132"/>
      <c r="I2" s="3132"/>
      <c r="J2" s="3132"/>
      <c r="K2" s="3132"/>
      <c r="L2" s="3132"/>
      <c r="M2" s="3132"/>
      <c r="N2" s="3132"/>
      <c r="O2" s="3132"/>
      <c r="P2" s="3132"/>
      <c r="Q2" s="3132"/>
      <c r="R2" s="3132"/>
      <c r="S2" s="3132"/>
      <c r="T2" s="3132"/>
      <c r="U2" s="3132"/>
      <c r="V2" s="3132"/>
      <c r="W2" s="3132"/>
      <c r="X2" s="3132"/>
      <c r="Y2" s="3132"/>
      <c r="Z2" s="3132"/>
    </row>
    <row r="3" spans="1:29" ht="24" customHeight="1" x14ac:dyDescent="0.25">
      <c r="A3" s="3184" t="str">
        <f>'48_NĐ31'!A4:G4</f>
        <v>(Kèm theo Quyết định số          /QĐ-UBND ngày          /4/2026 của UBND phường Bắc Kạn)</v>
      </c>
      <c r="B3" s="3184"/>
      <c r="C3" s="3184"/>
      <c r="D3" s="3184"/>
      <c r="E3" s="3184"/>
      <c r="F3" s="3184"/>
      <c r="G3" s="3184"/>
      <c r="H3" s="3184"/>
      <c r="I3" s="3184"/>
      <c r="J3" s="3184"/>
      <c r="K3" s="3184"/>
      <c r="L3" s="3184"/>
      <c r="M3" s="3184"/>
      <c r="N3" s="3184"/>
      <c r="O3" s="3184"/>
      <c r="P3" s="3184"/>
      <c r="Q3" s="3184"/>
      <c r="R3" s="3184"/>
      <c r="S3" s="3184"/>
      <c r="T3" s="3184"/>
      <c r="U3" s="3184"/>
      <c r="V3" s="3184"/>
      <c r="W3" s="3184"/>
      <c r="X3" s="3184"/>
      <c r="Y3" s="3184"/>
      <c r="Z3" s="3184"/>
    </row>
    <row r="4" spans="1:29" ht="21" customHeight="1" x14ac:dyDescent="0.25">
      <c r="P4" s="104"/>
      <c r="Q4" s="104"/>
      <c r="R4" s="104"/>
      <c r="Z4" s="64" t="s">
        <v>1187</v>
      </c>
    </row>
    <row r="5" spans="1:29" s="272" customFormat="1" ht="42.75" customHeight="1" x14ac:dyDescent="0.2">
      <c r="A5" s="3185" t="s">
        <v>0</v>
      </c>
      <c r="B5" s="3185" t="s">
        <v>454</v>
      </c>
      <c r="C5" s="3181" t="s">
        <v>590</v>
      </c>
      <c r="D5" s="3188"/>
      <c r="E5" s="3188"/>
      <c r="F5" s="3188"/>
      <c r="G5" s="3188"/>
      <c r="H5" s="3188"/>
      <c r="I5" s="3188"/>
      <c r="J5" s="3182"/>
      <c r="K5" s="3178" t="s">
        <v>400</v>
      </c>
      <c r="L5" s="3178"/>
      <c r="M5" s="3178"/>
      <c r="N5" s="3178"/>
      <c r="O5" s="3178"/>
      <c r="P5" s="3178"/>
      <c r="Q5" s="3178"/>
      <c r="R5" s="3178"/>
      <c r="S5" s="3176" t="s">
        <v>457</v>
      </c>
      <c r="T5" s="3176"/>
      <c r="U5" s="3176"/>
      <c r="V5" s="3176"/>
      <c r="W5" s="3176"/>
      <c r="X5" s="3176"/>
      <c r="Y5" s="3176"/>
      <c r="Z5" s="3176"/>
      <c r="AB5" s="446"/>
    </row>
    <row r="6" spans="1:29" s="272" customFormat="1" ht="39" customHeight="1" x14ac:dyDescent="0.2">
      <c r="A6" s="3186"/>
      <c r="B6" s="3186"/>
      <c r="C6" s="3179" t="s">
        <v>13</v>
      </c>
      <c r="D6" s="3179" t="s">
        <v>417</v>
      </c>
      <c r="E6" s="3181" t="s">
        <v>104</v>
      </c>
      <c r="F6" s="3188"/>
      <c r="G6" s="3188"/>
      <c r="H6" s="3188"/>
      <c r="I6" s="3188"/>
      <c r="J6" s="3182"/>
      <c r="K6" s="3179" t="s">
        <v>13</v>
      </c>
      <c r="L6" s="3179" t="s">
        <v>417</v>
      </c>
      <c r="M6" s="3178" t="s">
        <v>104</v>
      </c>
      <c r="N6" s="3178"/>
      <c r="O6" s="3178"/>
      <c r="P6" s="3178"/>
      <c r="Q6" s="3178"/>
      <c r="R6" s="3178"/>
      <c r="S6" s="3176" t="s">
        <v>13</v>
      </c>
      <c r="T6" s="3176" t="s">
        <v>417</v>
      </c>
      <c r="U6" s="3176" t="s">
        <v>104</v>
      </c>
      <c r="V6" s="3176"/>
      <c r="W6" s="3176"/>
      <c r="X6" s="3176"/>
      <c r="Y6" s="3176"/>
      <c r="Z6" s="3176"/>
      <c r="AB6" s="446"/>
    </row>
    <row r="7" spans="1:29" s="272" customFormat="1" ht="33" customHeight="1" x14ac:dyDescent="0.2">
      <c r="A7" s="3186"/>
      <c r="B7" s="3186"/>
      <c r="C7" s="3189"/>
      <c r="D7" s="3189"/>
      <c r="E7" s="3179" t="s">
        <v>13</v>
      </c>
      <c r="F7" s="3181" t="s">
        <v>34</v>
      </c>
      <c r="G7" s="3182"/>
      <c r="H7" s="3190" t="s">
        <v>458</v>
      </c>
      <c r="I7" s="3179" t="s">
        <v>459</v>
      </c>
      <c r="J7" s="3190" t="s">
        <v>460</v>
      </c>
      <c r="K7" s="3189"/>
      <c r="L7" s="3189"/>
      <c r="M7" s="3179" t="s">
        <v>13</v>
      </c>
      <c r="N7" s="3178" t="s">
        <v>34</v>
      </c>
      <c r="O7" s="3178"/>
      <c r="P7" s="3178" t="s">
        <v>458</v>
      </c>
      <c r="Q7" s="3178" t="s">
        <v>459</v>
      </c>
      <c r="R7" s="3178" t="s">
        <v>460</v>
      </c>
      <c r="S7" s="3176"/>
      <c r="T7" s="3176"/>
      <c r="U7" s="3176" t="s">
        <v>13</v>
      </c>
      <c r="V7" s="3176" t="s">
        <v>34</v>
      </c>
      <c r="W7" s="3176"/>
      <c r="X7" s="3177" t="s">
        <v>458</v>
      </c>
      <c r="Y7" s="3177" t="s">
        <v>459</v>
      </c>
      <c r="Z7" s="3177" t="s">
        <v>460</v>
      </c>
      <c r="AB7" s="446"/>
    </row>
    <row r="8" spans="1:29" s="272" customFormat="1" ht="117.75" customHeight="1" x14ac:dyDescent="0.2">
      <c r="A8" s="3187"/>
      <c r="B8" s="3187"/>
      <c r="C8" s="3180"/>
      <c r="D8" s="3180"/>
      <c r="E8" s="3180"/>
      <c r="F8" s="332" t="s">
        <v>461</v>
      </c>
      <c r="G8" s="332" t="s">
        <v>57</v>
      </c>
      <c r="H8" s="3191"/>
      <c r="I8" s="3180"/>
      <c r="J8" s="3191"/>
      <c r="K8" s="3180"/>
      <c r="L8" s="3180"/>
      <c r="M8" s="3180"/>
      <c r="N8" s="332" t="s">
        <v>461</v>
      </c>
      <c r="O8" s="332" t="s">
        <v>57</v>
      </c>
      <c r="P8" s="3178"/>
      <c r="Q8" s="3178"/>
      <c r="R8" s="3178"/>
      <c r="S8" s="3176"/>
      <c r="T8" s="3176"/>
      <c r="U8" s="3176"/>
      <c r="V8" s="333" t="s">
        <v>461</v>
      </c>
      <c r="W8" s="330" t="s">
        <v>57</v>
      </c>
      <c r="X8" s="3177"/>
      <c r="Y8" s="3177"/>
      <c r="Z8" s="3177"/>
      <c r="AB8" s="446"/>
    </row>
    <row r="9" spans="1:29" s="273" customFormat="1" ht="38.25" customHeight="1" x14ac:dyDescent="0.2">
      <c r="A9" s="330" t="s">
        <v>3</v>
      </c>
      <c r="B9" s="330" t="s">
        <v>4</v>
      </c>
      <c r="C9" s="332">
        <v>1</v>
      </c>
      <c r="D9" s="332">
        <v>2</v>
      </c>
      <c r="E9" s="332" t="s">
        <v>462</v>
      </c>
      <c r="F9" s="332">
        <v>4</v>
      </c>
      <c r="G9" s="332">
        <v>5</v>
      </c>
      <c r="H9" s="332">
        <v>6</v>
      </c>
      <c r="I9" s="332">
        <v>7</v>
      </c>
      <c r="J9" s="332">
        <v>8</v>
      </c>
      <c r="K9" s="332">
        <v>9</v>
      </c>
      <c r="L9" s="332">
        <v>10</v>
      </c>
      <c r="M9" s="332" t="s">
        <v>48</v>
      </c>
      <c r="N9" s="332">
        <v>12</v>
      </c>
      <c r="O9" s="332">
        <v>13</v>
      </c>
      <c r="P9" s="332">
        <v>14</v>
      </c>
      <c r="Q9" s="332" t="s">
        <v>510</v>
      </c>
      <c r="R9" s="332">
        <v>16</v>
      </c>
      <c r="S9" s="209" t="s">
        <v>463</v>
      </c>
      <c r="T9" s="209" t="s">
        <v>464</v>
      </c>
      <c r="U9" s="209" t="s">
        <v>465</v>
      </c>
      <c r="V9" s="209" t="s">
        <v>466</v>
      </c>
      <c r="W9" s="209" t="s">
        <v>467</v>
      </c>
      <c r="X9" s="209" t="s">
        <v>468</v>
      </c>
      <c r="Y9" s="209" t="s">
        <v>469</v>
      </c>
      <c r="Z9" s="209" t="s">
        <v>470</v>
      </c>
      <c r="AB9" s="447"/>
    </row>
    <row r="10" spans="1:29" s="190" customFormat="1" ht="39" customHeight="1" x14ac:dyDescent="0.2">
      <c r="A10" s="131"/>
      <c r="B10" s="131" t="s">
        <v>29</v>
      </c>
      <c r="C10" s="132">
        <f>SUM(C11:C18)</f>
        <v>35885</v>
      </c>
      <c r="D10" s="132">
        <f>SUM(D11:D18)</f>
        <v>33753.599999999999</v>
      </c>
      <c r="E10" s="132">
        <f>SUM(E11:E18)</f>
        <v>2131.4</v>
      </c>
      <c r="F10" s="132"/>
      <c r="G10" s="132">
        <f t="shared" ref="G10:M10" si="0">SUM(G11:G18)</f>
        <v>2131.4</v>
      </c>
      <c r="H10" s="584">
        <f t="shared" si="0"/>
        <v>369</v>
      </c>
      <c r="I10" s="132">
        <f t="shared" si="0"/>
        <v>1607.4</v>
      </c>
      <c r="J10" s="132">
        <f t="shared" si="0"/>
        <v>155</v>
      </c>
      <c r="K10" s="132" t="e">
        <f t="shared" si="0"/>
        <v>#REF!</v>
      </c>
      <c r="L10" s="132">
        <f>SUM(L11:L18)</f>
        <v>33583.199999999997</v>
      </c>
      <c r="M10" s="132" t="e">
        <f t="shared" si="0"/>
        <v>#REF!</v>
      </c>
      <c r="N10" s="132"/>
      <c r="O10" s="132" t="e">
        <f>SUM(O11:O18)</f>
        <v>#REF!</v>
      </c>
      <c r="P10" s="132">
        <f>SUM(P11:P18)</f>
        <v>286784.97399999999</v>
      </c>
      <c r="Q10" s="132" t="e">
        <f>SUM(Q11:Q18)</f>
        <v>#REF!</v>
      </c>
      <c r="R10" s="132" t="e">
        <f>SUM(R11:R18)</f>
        <v>#REF!</v>
      </c>
      <c r="S10" s="585" t="e">
        <f t="shared" ref="S10:S18" si="1">K10/C10%</f>
        <v>#REF!</v>
      </c>
      <c r="T10" s="585">
        <f t="shared" ref="T10:T18" si="2">L10/D10%</f>
        <v>99.495164960182009</v>
      </c>
      <c r="U10" s="585" t="e">
        <f t="shared" ref="U10:U18" si="3">M10/E10%</f>
        <v>#REF!</v>
      </c>
      <c r="V10" s="585"/>
      <c r="W10" s="586" t="e">
        <f t="shared" ref="W10:W18" si="4">O10/G10*100</f>
        <v>#REF!</v>
      </c>
      <c r="X10" s="585"/>
      <c r="Y10" s="586" t="e">
        <f t="shared" ref="Y10:Y18" si="5">Q10/I10*100</f>
        <v>#REF!</v>
      </c>
      <c r="Z10" s="585"/>
      <c r="AB10" s="360"/>
    </row>
    <row r="11" spans="1:29" s="119" customFormat="1" ht="36.75" customHeight="1" x14ac:dyDescent="0.2">
      <c r="A11" s="137">
        <v>1</v>
      </c>
      <c r="B11" s="345" t="s">
        <v>522</v>
      </c>
      <c r="C11" s="124">
        <f>SUM(D11,E11)</f>
        <v>3117</v>
      </c>
      <c r="D11" s="124">
        <v>2994.3</v>
      </c>
      <c r="E11" s="124">
        <f t="shared" ref="E11:E18" si="6">SUM(F11:G11)</f>
        <v>122.7</v>
      </c>
      <c r="F11" s="124"/>
      <c r="G11" s="124">
        <f>H11+I11+J11</f>
        <v>122.7</v>
      </c>
      <c r="H11" s="124"/>
      <c r="I11" s="124">
        <v>122.7</v>
      </c>
      <c r="J11" s="124"/>
      <c r="K11" s="124" t="e">
        <f>SUM(L11:M11)</f>
        <v>#REF!</v>
      </c>
      <c r="L11" s="124">
        <v>2973</v>
      </c>
      <c r="M11" s="124" t="e">
        <f t="shared" ref="M11:M16" si="7">SUM(N11:O11)</f>
        <v>#REF!</v>
      </c>
      <c r="N11" s="124"/>
      <c r="O11" s="124" t="e">
        <f>SUM(P11:R11)</f>
        <v>#REF!</v>
      </c>
      <c r="P11" s="124"/>
      <c r="Q11" s="124" t="e">
        <f>774.624-R11</f>
        <v>#REF!</v>
      </c>
      <c r="R11" s="124" t="e">
        <f>'61_NĐ31'!#REF!</f>
        <v>#REF!</v>
      </c>
      <c r="S11" s="556" t="e">
        <f t="shared" si="1"/>
        <v>#REF!</v>
      </c>
      <c r="T11" s="556">
        <f t="shared" si="2"/>
        <v>99.288648432020835</v>
      </c>
      <c r="U11" s="556" t="e">
        <f t="shared" si="3"/>
        <v>#REF!</v>
      </c>
      <c r="V11" s="556"/>
      <c r="W11" s="556" t="e">
        <f t="shared" si="4"/>
        <v>#REF!</v>
      </c>
      <c r="X11" s="556"/>
      <c r="Y11" s="556" t="e">
        <f t="shared" si="5"/>
        <v>#REF!</v>
      </c>
      <c r="Z11" s="556"/>
      <c r="AB11" s="148"/>
    </row>
    <row r="12" spans="1:29" s="119" customFormat="1" ht="41.25" customHeight="1" x14ac:dyDescent="0.2">
      <c r="A12" s="138">
        <v>2</v>
      </c>
      <c r="B12" s="345" t="s">
        <v>523</v>
      </c>
      <c r="C12" s="122">
        <f>SUM(D12,E12)</f>
        <v>4357</v>
      </c>
      <c r="D12" s="122">
        <v>4213</v>
      </c>
      <c r="E12" s="122">
        <f t="shared" si="6"/>
        <v>144</v>
      </c>
      <c r="F12" s="122"/>
      <c r="G12" s="124">
        <f t="shared" ref="G12:G18" si="8">H12+I12+J12</f>
        <v>144</v>
      </c>
      <c r="H12" s="122"/>
      <c r="I12" s="124">
        <v>144</v>
      </c>
      <c r="J12" s="122"/>
      <c r="K12" s="122" t="e">
        <f>SUM(L12:M12)</f>
        <v>#REF!</v>
      </c>
      <c r="L12" s="124">
        <v>4191.3</v>
      </c>
      <c r="M12" s="124" t="e">
        <f>SUM(N12:O12)</f>
        <v>#REF!</v>
      </c>
      <c r="N12" s="122"/>
      <c r="O12" s="124" t="e">
        <f>SUM(P12:R12)</f>
        <v>#REF!</v>
      </c>
      <c r="P12" s="122"/>
      <c r="Q12" s="122" t="e">
        <f>1686.7025-R12</f>
        <v>#REF!</v>
      </c>
      <c r="R12" s="122" t="e">
        <f>'61_NĐ31'!#REF!</f>
        <v>#REF!</v>
      </c>
      <c r="S12" s="559" t="e">
        <f t="shared" si="1"/>
        <v>#REF!</v>
      </c>
      <c r="T12" s="559">
        <f t="shared" si="2"/>
        <v>99.484927605032041</v>
      </c>
      <c r="U12" s="559" t="e">
        <f t="shared" si="3"/>
        <v>#REF!</v>
      </c>
      <c r="V12" s="559"/>
      <c r="W12" s="559" t="e">
        <f t="shared" si="4"/>
        <v>#REF!</v>
      </c>
      <c r="X12" s="559"/>
      <c r="Y12" s="559" t="e">
        <f t="shared" si="5"/>
        <v>#REF!</v>
      </c>
      <c r="Z12" s="559"/>
      <c r="AB12" s="148"/>
    </row>
    <row r="13" spans="1:29" s="119" customFormat="1" ht="42" customHeight="1" x14ac:dyDescent="0.2">
      <c r="A13" s="138">
        <v>3</v>
      </c>
      <c r="B13" s="121" t="s">
        <v>576</v>
      </c>
      <c r="C13" s="122">
        <f t="shared" ref="C13:C18" si="9">SUM(D13,E13)</f>
        <v>1947</v>
      </c>
      <c r="D13" s="122">
        <v>1828.4</v>
      </c>
      <c r="E13" s="122">
        <f t="shared" si="6"/>
        <v>118.6</v>
      </c>
      <c r="F13" s="122"/>
      <c r="G13" s="124">
        <f t="shared" si="8"/>
        <v>118.6</v>
      </c>
      <c r="H13" s="122"/>
      <c r="I13" s="124">
        <v>118.6</v>
      </c>
      <c r="J13" s="122"/>
      <c r="K13" s="122" t="e">
        <f t="shared" ref="K13:K18" si="10">SUM(L13:M13)</f>
        <v>#REF!</v>
      </c>
      <c r="L13" s="124">
        <v>1806.8</v>
      </c>
      <c r="M13" s="124" t="e">
        <f t="shared" si="7"/>
        <v>#REF!</v>
      </c>
      <c r="N13" s="122"/>
      <c r="O13" s="124" t="e">
        <f t="shared" ref="O13:O16" si="11">SUM(P13:R13)</f>
        <v>#REF!</v>
      </c>
      <c r="P13" s="122"/>
      <c r="Q13" s="122" t="e">
        <f>627.792-R13</f>
        <v>#REF!</v>
      </c>
      <c r="R13" s="122" t="e">
        <f>'61_NĐ31'!#REF!</f>
        <v>#REF!</v>
      </c>
      <c r="S13" s="559" t="e">
        <f t="shared" si="1"/>
        <v>#REF!</v>
      </c>
      <c r="T13" s="559">
        <f t="shared" si="2"/>
        <v>98.818639247429431</v>
      </c>
      <c r="U13" s="559" t="e">
        <f t="shared" si="3"/>
        <v>#REF!</v>
      </c>
      <c r="V13" s="559"/>
      <c r="W13" s="559" t="e">
        <f t="shared" si="4"/>
        <v>#REF!</v>
      </c>
      <c r="X13" s="559"/>
      <c r="Y13" s="559" t="e">
        <f t="shared" si="5"/>
        <v>#REF!</v>
      </c>
      <c r="Z13" s="559"/>
      <c r="AB13" s="148"/>
    </row>
    <row r="14" spans="1:29" s="119" customFormat="1" ht="39.75" customHeight="1" x14ac:dyDescent="0.2">
      <c r="A14" s="120">
        <v>4</v>
      </c>
      <c r="B14" s="121" t="s">
        <v>601</v>
      </c>
      <c r="C14" s="122">
        <f t="shared" si="9"/>
        <v>4911.6000000000004</v>
      </c>
      <c r="D14" s="123">
        <v>4824.5</v>
      </c>
      <c r="E14" s="122">
        <f t="shared" si="6"/>
        <v>87.1</v>
      </c>
      <c r="F14" s="123"/>
      <c r="G14" s="124">
        <f>H14+I14+J14</f>
        <v>87.1</v>
      </c>
      <c r="H14" s="123"/>
      <c r="I14" s="124">
        <v>87.1</v>
      </c>
      <c r="J14" s="123"/>
      <c r="K14" s="122" t="e">
        <f>SUM(L14:M14)</f>
        <v>#REF!</v>
      </c>
      <c r="L14" s="448">
        <v>4803</v>
      </c>
      <c r="M14" s="124" t="e">
        <f t="shared" si="7"/>
        <v>#REF!</v>
      </c>
      <c r="N14" s="123"/>
      <c r="O14" s="124" t="e">
        <f t="shared" si="11"/>
        <v>#REF!</v>
      </c>
      <c r="P14" s="122"/>
      <c r="Q14" s="562" t="e">
        <f>795.956-R14</f>
        <v>#REF!</v>
      </c>
      <c r="R14" s="123" t="e">
        <f>'61_NĐ31'!#REF!</f>
        <v>#REF!</v>
      </c>
      <c r="S14" s="559" t="e">
        <f t="shared" si="1"/>
        <v>#REF!</v>
      </c>
      <c r="T14" s="559">
        <f t="shared" si="2"/>
        <v>99.554357964555919</v>
      </c>
      <c r="U14" s="559" t="e">
        <f t="shared" si="3"/>
        <v>#REF!</v>
      </c>
      <c r="V14" s="559"/>
      <c r="W14" s="559" t="e">
        <f t="shared" si="4"/>
        <v>#REF!</v>
      </c>
      <c r="X14" s="559"/>
      <c r="Y14" s="559" t="e">
        <f t="shared" si="5"/>
        <v>#REF!</v>
      </c>
      <c r="Z14" s="559"/>
      <c r="AB14" s="148"/>
    </row>
    <row r="15" spans="1:29" s="119" customFormat="1" ht="39" customHeight="1" x14ac:dyDescent="0.2">
      <c r="A15" s="120">
        <v>5</v>
      </c>
      <c r="B15" s="121" t="s">
        <v>524</v>
      </c>
      <c r="C15" s="122">
        <f>SUM(D15,E15)</f>
        <v>6161</v>
      </c>
      <c r="D15" s="123">
        <v>5502.5</v>
      </c>
      <c r="E15" s="122">
        <f>SUM(F15:G15)</f>
        <v>658.5</v>
      </c>
      <c r="F15" s="123"/>
      <c r="G15" s="124">
        <f>H15+I15+J15</f>
        <v>658.5</v>
      </c>
      <c r="H15" s="123">
        <v>369</v>
      </c>
      <c r="I15" s="563">
        <f>658.5-H15-J15</f>
        <v>234.5</v>
      </c>
      <c r="J15" s="123">
        <f>424-H15</f>
        <v>55</v>
      </c>
      <c r="K15" s="122">
        <f>SUM(L15:M15)</f>
        <v>7180.6020000000017</v>
      </c>
      <c r="L15" s="124">
        <v>5480.7</v>
      </c>
      <c r="M15" s="124">
        <f t="shared" si="7"/>
        <v>1699.9020000000019</v>
      </c>
      <c r="N15" s="123"/>
      <c r="O15" s="124">
        <f>SUM(P15:R15)</f>
        <v>1699.9020000000019</v>
      </c>
      <c r="P15" s="368">
        <f>'61_NĐ31'!G15</f>
        <v>286784.97399999999</v>
      </c>
      <c r="Q15" s="564">
        <f>1699.902-P15-R15</f>
        <v>-912248.37199999997</v>
      </c>
      <c r="R15" s="123">
        <f>'61_NĐ31'!H15</f>
        <v>627163.30000000005</v>
      </c>
      <c r="S15" s="559">
        <f t="shared" si="1"/>
        <v>116.54929394578805</v>
      </c>
      <c r="T15" s="559">
        <f t="shared" si="2"/>
        <v>99.603816447069519</v>
      </c>
      <c r="U15" s="559">
        <f t="shared" si="3"/>
        <v>258.14760820045586</v>
      </c>
      <c r="V15" s="559"/>
      <c r="W15" s="559">
        <f t="shared" si="4"/>
        <v>258.14760820045586</v>
      </c>
      <c r="X15" s="559"/>
      <c r="Y15" s="559">
        <f t="shared" si="5"/>
        <v>-389018.49552238802</v>
      </c>
      <c r="Z15" s="559"/>
      <c r="AB15" s="148"/>
      <c r="AC15" s="270"/>
    </row>
    <row r="16" spans="1:29" s="119" customFormat="1" ht="41.25" customHeight="1" x14ac:dyDescent="0.2">
      <c r="A16" s="120">
        <v>6</v>
      </c>
      <c r="B16" s="121" t="s">
        <v>525</v>
      </c>
      <c r="C16" s="122">
        <f>SUM(D16,E16)</f>
        <v>4999</v>
      </c>
      <c r="D16" s="123">
        <v>4501.2</v>
      </c>
      <c r="E16" s="122">
        <f>SUM(F16:G16)</f>
        <v>497.8</v>
      </c>
      <c r="F16" s="123"/>
      <c r="G16" s="124">
        <f>H16+I16+J16</f>
        <v>497.8</v>
      </c>
      <c r="H16" s="123"/>
      <c r="I16" s="124">
        <v>497.8</v>
      </c>
      <c r="J16" s="123"/>
      <c r="K16" s="122" t="e">
        <f>SUM(L16:M16)</f>
        <v>#REF!</v>
      </c>
      <c r="L16" s="124">
        <v>4480.1000000000004</v>
      </c>
      <c r="M16" s="124" t="e">
        <f t="shared" si="7"/>
        <v>#REF!</v>
      </c>
      <c r="N16" s="123"/>
      <c r="O16" s="124" t="e">
        <f t="shared" si="11"/>
        <v>#REF!</v>
      </c>
      <c r="P16" s="123"/>
      <c r="Q16" s="123" t="e">
        <f>939.348-R16</f>
        <v>#REF!</v>
      </c>
      <c r="R16" s="123" t="e">
        <f>'61_NĐ31'!#REF!</f>
        <v>#REF!</v>
      </c>
      <c r="S16" s="559" t="e">
        <f t="shared" si="1"/>
        <v>#REF!</v>
      </c>
      <c r="T16" s="559">
        <f t="shared" si="2"/>
        <v>99.531236114813836</v>
      </c>
      <c r="U16" s="559" t="e">
        <f t="shared" si="3"/>
        <v>#REF!</v>
      </c>
      <c r="V16" s="559"/>
      <c r="W16" s="559" t="e">
        <f t="shared" si="4"/>
        <v>#REF!</v>
      </c>
      <c r="X16" s="559"/>
      <c r="Y16" s="559" t="e">
        <f t="shared" si="5"/>
        <v>#REF!</v>
      </c>
      <c r="Z16" s="559"/>
      <c r="AB16" s="148"/>
      <c r="AC16" s="270"/>
    </row>
    <row r="17" spans="1:29" s="119" customFormat="1" ht="40.5" customHeight="1" x14ac:dyDescent="0.2">
      <c r="A17" s="120">
        <v>7</v>
      </c>
      <c r="B17" s="121" t="s">
        <v>526</v>
      </c>
      <c r="C17" s="122">
        <f t="shared" si="9"/>
        <v>5511</v>
      </c>
      <c r="D17" s="123">
        <v>5361</v>
      </c>
      <c r="E17" s="122">
        <f t="shared" si="6"/>
        <v>150</v>
      </c>
      <c r="F17" s="123"/>
      <c r="G17" s="124">
        <f t="shared" si="8"/>
        <v>150</v>
      </c>
      <c r="H17" s="568"/>
      <c r="I17" s="124">
        <f>150-J17-H17</f>
        <v>130</v>
      </c>
      <c r="J17" s="123">
        <v>20</v>
      </c>
      <c r="K17" s="122">
        <f>SUM(L17:M17)</f>
        <v>7872.3309999999883</v>
      </c>
      <c r="L17" s="124">
        <v>5340.3</v>
      </c>
      <c r="M17" s="124">
        <f>SUM(N17:O17)</f>
        <v>2532.0309999999881</v>
      </c>
      <c r="N17" s="123"/>
      <c r="O17" s="124">
        <f>SUM(P17:R17)</f>
        <v>2532.0309999999881</v>
      </c>
      <c r="P17" s="123">
        <f>'61_NĐ31'!G13</f>
        <v>0</v>
      </c>
      <c r="Q17" s="123">
        <f>2532.031-R17-P17</f>
        <v>-168117.36900000001</v>
      </c>
      <c r="R17" s="123">
        <f>'61_NĐ31'!H13</f>
        <v>170649.4</v>
      </c>
      <c r="S17" s="569">
        <f t="shared" si="1"/>
        <v>142.84759571765539</v>
      </c>
      <c r="T17" s="569">
        <f t="shared" si="2"/>
        <v>99.613878007834359</v>
      </c>
      <c r="U17" s="569">
        <f t="shared" si="3"/>
        <v>1688.0206666666588</v>
      </c>
      <c r="V17" s="569"/>
      <c r="W17" s="569">
        <f t="shared" si="4"/>
        <v>1688.0206666666588</v>
      </c>
      <c r="X17" s="569"/>
      <c r="Y17" s="569">
        <f t="shared" si="5"/>
        <v>-129321.0530769231</v>
      </c>
      <c r="Z17" s="570"/>
      <c r="AB17" s="148"/>
      <c r="AC17" s="270"/>
    </row>
    <row r="18" spans="1:29" s="119" customFormat="1" ht="39.75" customHeight="1" x14ac:dyDescent="0.2">
      <c r="A18" s="117">
        <v>8</v>
      </c>
      <c r="B18" s="346" t="s">
        <v>527</v>
      </c>
      <c r="C18" s="118">
        <f t="shared" si="9"/>
        <v>4881.3999999999996</v>
      </c>
      <c r="D18" s="118">
        <v>4528.7</v>
      </c>
      <c r="E18" s="118">
        <f t="shared" si="6"/>
        <v>352.7</v>
      </c>
      <c r="F18" s="118"/>
      <c r="G18" s="118">
        <f t="shared" si="8"/>
        <v>352.7</v>
      </c>
      <c r="H18" s="582"/>
      <c r="I18" s="583">
        <f>352.7-J18</f>
        <v>272.7</v>
      </c>
      <c r="J18" s="118">
        <v>80</v>
      </c>
      <c r="K18" s="118">
        <f t="shared" si="10"/>
        <v>6309.5750000000116</v>
      </c>
      <c r="L18" s="118">
        <v>4508</v>
      </c>
      <c r="M18" s="118">
        <f>SUM(N18:O18)</f>
        <v>1801.5750000000116</v>
      </c>
      <c r="N18" s="118"/>
      <c r="O18" s="118">
        <f>SUM(P18:R18)</f>
        <v>1801.5750000000116</v>
      </c>
      <c r="P18" s="118">
        <f>'61_NĐ31'!G14</f>
        <v>0</v>
      </c>
      <c r="Q18" s="118">
        <f>1801.575-R18-P18</f>
        <v>-374669.44500000001</v>
      </c>
      <c r="R18" s="118">
        <f>'61_NĐ31'!H14</f>
        <v>376471.02</v>
      </c>
      <c r="S18" s="347">
        <f t="shared" si="1"/>
        <v>129.25748760601493</v>
      </c>
      <c r="T18" s="347">
        <f t="shared" si="2"/>
        <v>99.542915185373289</v>
      </c>
      <c r="U18" s="347">
        <f t="shared" si="3"/>
        <v>510.79529345052788</v>
      </c>
      <c r="V18" s="347"/>
      <c r="W18" s="347">
        <f t="shared" si="4"/>
        <v>510.79529345052788</v>
      </c>
      <c r="X18" s="347"/>
      <c r="Y18" s="347">
        <f t="shared" si="5"/>
        <v>-137392.53575357536</v>
      </c>
      <c r="Z18" s="347"/>
      <c r="AB18" s="148"/>
      <c r="AC18" s="270"/>
    </row>
    <row r="19" spans="1:29" x14ac:dyDescent="0.25">
      <c r="R19" s="104"/>
      <c r="AC19" s="274"/>
    </row>
    <row r="20" spans="1:29" x14ac:dyDescent="0.25">
      <c r="O20" s="349"/>
      <c r="P20" s="41"/>
      <c r="Q20" s="156"/>
      <c r="R20" s="276"/>
      <c r="S20" s="104"/>
      <c r="U20" s="348"/>
    </row>
    <row r="21" spans="1:29" x14ac:dyDescent="0.25">
      <c r="L21" s="274"/>
      <c r="O21" s="349"/>
      <c r="P21" s="41"/>
      <c r="Q21" s="126"/>
      <c r="R21" s="276"/>
      <c r="S21" s="350"/>
      <c r="U21" s="348"/>
    </row>
    <row r="22" spans="1:29" x14ac:dyDescent="0.25">
      <c r="O22" s="349"/>
      <c r="P22" s="41"/>
      <c r="Q22" s="499"/>
      <c r="R22" s="277"/>
      <c r="S22" s="351"/>
      <c r="U22" s="348"/>
    </row>
    <row r="23" spans="1:29" x14ac:dyDescent="0.25">
      <c r="T23" s="352"/>
      <c r="U23" s="348"/>
    </row>
    <row r="24" spans="1:29" x14ac:dyDescent="0.25">
      <c r="O24" s="353"/>
      <c r="U24" s="348"/>
    </row>
    <row r="27" spans="1:29" x14ac:dyDescent="0.25">
      <c r="O27" s="104"/>
    </row>
    <row r="31" spans="1:29" x14ac:dyDescent="0.25">
      <c r="M31" s="354"/>
    </row>
    <row r="32" spans="1:29" x14ac:dyDescent="0.25">
      <c r="M32" s="355"/>
    </row>
    <row r="33" spans="12:14" x14ac:dyDescent="0.25">
      <c r="L33" s="356"/>
      <c r="M33" s="3183"/>
      <c r="N33" s="3183"/>
    </row>
  </sheetData>
  <mergeCells count="32">
    <mergeCell ref="L6:L8"/>
    <mergeCell ref="K6:K8"/>
    <mergeCell ref="J7:J8"/>
    <mergeCell ref="I7:I8"/>
    <mergeCell ref="H7:H8"/>
    <mergeCell ref="F7:G7"/>
    <mergeCell ref="E7:E8"/>
    <mergeCell ref="M33:N33"/>
    <mergeCell ref="A3:Z3"/>
    <mergeCell ref="A2:Z2"/>
    <mergeCell ref="A5:A8"/>
    <mergeCell ref="B5:B8"/>
    <mergeCell ref="C5:J5"/>
    <mergeCell ref="K5:R5"/>
    <mergeCell ref="S5:Z5"/>
    <mergeCell ref="C6:C8"/>
    <mergeCell ref="D6:D8"/>
    <mergeCell ref="E6:J6"/>
    <mergeCell ref="T6:T8"/>
    <mergeCell ref="U6:Z6"/>
    <mergeCell ref="N7:O7"/>
    <mergeCell ref="S6:S8"/>
    <mergeCell ref="P7:P8"/>
    <mergeCell ref="Q7:Q8"/>
    <mergeCell ref="R7:R8"/>
    <mergeCell ref="M7:M8"/>
    <mergeCell ref="M6:R6"/>
    <mergeCell ref="U7:U8"/>
    <mergeCell ref="V7:W7"/>
    <mergeCell ref="X7:X8"/>
    <mergeCell ref="Y7:Y8"/>
    <mergeCell ref="Z7:Z8"/>
  </mergeCells>
  <printOptions horizontalCentered="1"/>
  <pageMargins left="0.19685039370078741" right="0.23622047244094491" top="0.59055118110236227" bottom="0.59055118110236227" header="0.31496062992125984" footer="0.31496062992125984"/>
  <pageSetup paperSize="9" scale="65" firstPageNumber="33" orientation="landscape" useFirstPageNumber="1" r:id="rId1"/>
  <headerFooter>
    <oddHeader>&amp;RBiểu số 5.12</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00FF"/>
  </sheetPr>
  <dimension ref="A1:R25"/>
  <sheetViews>
    <sheetView zoomScale="115" zoomScaleNormal="115" zoomScaleSheetLayoutView="115" workbookViewId="0">
      <selection activeCell="R1" sqref="R1"/>
    </sheetView>
  </sheetViews>
  <sheetFormatPr defaultColWidth="10.5703125" defaultRowHeight="15" x14ac:dyDescent="0.25"/>
  <cols>
    <col min="1" max="1" width="6.42578125" style="36" customWidth="1"/>
    <col min="2" max="2" width="25.5703125" style="36" customWidth="1"/>
    <col min="3" max="3" width="21.140625" style="450" customWidth="1"/>
    <col min="4" max="5" width="18.140625" style="36" customWidth="1"/>
    <col min="6" max="6" width="16" style="36" customWidth="1"/>
    <col min="7" max="7" width="15.42578125" style="36" customWidth="1"/>
    <col min="8" max="8" width="14.140625" style="41" customWidth="1"/>
    <col min="9" max="9" width="20.42578125" style="36" hidden="1" customWidth="1"/>
    <col min="10" max="10" width="24.7109375" style="36" hidden="1" customWidth="1"/>
    <col min="11" max="11" width="25.140625" style="36" hidden="1" customWidth="1"/>
    <col min="12" max="16" width="0" style="36" hidden="1" customWidth="1"/>
    <col min="17" max="17" width="17.42578125" style="172" customWidth="1"/>
    <col min="18" max="16384" width="10.5703125" style="36"/>
  </cols>
  <sheetData>
    <row r="1" spans="1:18" ht="23.25" customHeight="1" x14ac:dyDescent="0.25">
      <c r="A1" s="44" t="str">
        <f>'48_NĐ31'!A1</f>
        <v xml:space="preserve">UBND PHƯỜNG BẮC KẠN </v>
      </c>
      <c r="H1" s="189"/>
      <c r="Q1" s="36" t="s">
        <v>970</v>
      </c>
      <c r="R1" s="1344" t="s">
        <v>1387</v>
      </c>
    </row>
    <row r="2" spans="1:18" ht="23.25" customHeight="1" x14ac:dyDescent="0.25">
      <c r="A2" s="3132" t="s">
        <v>736</v>
      </c>
      <c r="B2" s="3132"/>
      <c r="C2" s="3132"/>
      <c r="D2" s="3132"/>
      <c r="E2" s="3132"/>
      <c r="F2" s="3132"/>
      <c r="G2" s="3132"/>
      <c r="H2" s="3132"/>
    </row>
    <row r="3" spans="1:18" ht="27" customHeight="1" x14ac:dyDescent="0.25">
      <c r="A3" s="3140" t="str">
        <f>'48_NĐ31'!A4:G4</f>
        <v>(Kèm theo Quyết định số          /QĐ-UBND ngày          /4/2026 của UBND phường Bắc Kạn)</v>
      </c>
      <c r="B3" s="3140"/>
      <c r="C3" s="3140"/>
      <c r="D3" s="3140"/>
      <c r="E3" s="3140"/>
      <c r="F3" s="3140"/>
      <c r="G3" s="3140"/>
      <c r="H3" s="3140"/>
    </row>
    <row r="4" spans="1:18" ht="15.75" x14ac:dyDescent="0.25">
      <c r="H4" s="200" t="s">
        <v>1187</v>
      </c>
    </row>
    <row r="5" spans="1:18" s="119" customFormat="1" ht="29.25" customHeight="1" x14ac:dyDescent="0.2">
      <c r="A5" s="3149" t="s">
        <v>0</v>
      </c>
      <c r="B5" s="3149" t="s">
        <v>52</v>
      </c>
      <c r="C5" s="3192" t="s">
        <v>471</v>
      </c>
      <c r="D5" s="3149" t="s">
        <v>47</v>
      </c>
      <c r="E5" s="3149"/>
      <c r="F5" s="3149"/>
      <c r="G5" s="3149"/>
      <c r="H5" s="3149"/>
      <c r="Q5" s="320"/>
    </row>
    <row r="6" spans="1:18" s="119" customFormat="1" ht="82.5" customHeight="1" x14ac:dyDescent="0.2">
      <c r="A6" s="3149"/>
      <c r="B6" s="3149"/>
      <c r="C6" s="3192"/>
      <c r="D6" s="130" t="s">
        <v>472</v>
      </c>
      <c r="E6" s="130" t="s">
        <v>589</v>
      </c>
      <c r="F6" s="130" t="s">
        <v>473</v>
      </c>
      <c r="G6" s="130" t="s">
        <v>62</v>
      </c>
      <c r="H6" s="331" t="s">
        <v>474</v>
      </c>
      <c r="Q6" s="320"/>
    </row>
    <row r="7" spans="1:18" s="119" customFormat="1" ht="30.75" customHeight="1" x14ac:dyDescent="0.2">
      <c r="A7" s="210" t="s">
        <v>3</v>
      </c>
      <c r="B7" s="210" t="s">
        <v>4</v>
      </c>
      <c r="C7" s="453">
        <v>1</v>
      </c>
      <c r="D7" s="210">
        <v>2</v>
      </c>
      <c r="E7" s="210">
        <v>3</v>
      </c>
      <c r="F7" s="210">
        <v>4</v>
      </c>
      <c r="G7" s="210">
        <v>5</v>
      </c>
      <c r="H7" s="146">
        <v>6</v>
      </c>
      <c r="I7" s="503" t="s">
        <v>786</v>
      </c>
      <c r="J7" s="503" t="s">
        <v>787</v>
      </c>
      <c r="Q7" s="320"/>
    </row>
    <row r="8" spans="1:18" s="44" customFormat="1" ht="35.25" customHeight="1" x14ac:dyDescent="0.2">
      <c r="A8" s="169"/>
      <c r="B8" s="247" t="s">
        <v>29</v>
      </c>
      <c r="C8" s="239" t="e">
        <f t="shared" ref="C8:H8" si="0">SUM(C9:C16)</f>
        <v>#REF!</v>
      </c>
      <c r="D8" s="239" t="e">
        <f>SUM(D9:D16)</f>
        <v>#REF!</v>
      </c>
      <c r="E8" s="379" t="e">
        <f t="shared" si="0"/>
        <v>#REF!</v>
      </c>
      <c r="F8" s="239">
        <f t="shared" si="0"/>
        <v>135.10000000000002</v>
      </c>
      <c r="G8" s="239">
        <f t="shared" si="0"/>
        <v>11282.034942999999</v>
      </c>
      <c r="H8" s="365">
        <f t="shared" si="0"/>
        <v>265.22596199999998</v>
      </c>
      <c r="I8" s="588" t="e">
        <f>SUM(I9:I16)</f>
        <v>#REF!</v>
      </c>
      <c r="J8" s="596" t="e">
        <f>SUM(J9:J16)</f>
        <v>#REF!</v>
      </c>
      <c r="K8" s="290">
        <f>'60_TT342'!D8</f>
        <v>377577237.37099999</v>
      </c>
      <c r="Q8" s="187">
        <v>13167</v>
      </c>
      <c r="R8" s="329" t="e">
        <f>Q8-D8</f>
        <v>#REF!</v>
      </c>
    </row>
    <row r="9" spans="1:18" s="41" customFormat="1" ht="33.75" customHeight="1" x14ac:dyDescent="0.25">
      <c r="A9" s="876">
        <v>1</v>
      </c>
      <c r="B9" s="877" t="s">
        <v>522</v>
      </c>
      <c r="C9" s="149" t="e">
        <f t="shared" ref="C9:C16" si="1">SUM(D9:H9)</f>
        <v>#REF!</v>
      </c>
      <c r="D9" s="1050" t="e">
        <f>9147.686071-E9-F9-G9-H9</f>
        <v>#REF!</v>
      </c>
      <c r="E9" s="149" t="e">
        <f>'5.12'!K11-F9</f>
        <v>#REF!</v>
      </c>
      <c r="F9" s="149">
        <v>53.7</v>
      </c>
      <c r="G9" s="124">
        <v>1006.499966</v>
      </c>
      <c r="H9" s="149"/>
      <c r="I9" s="557" t="e">
        <f>'5.11'!G11</f>
        <v>#REF!</v>
      </c>
      <c r="J9" s="589" t="e">
        <f>C9-I9</f>
        <v>#REF!</v>
      </c>
      <c r="K9" s="558" t="e">
        <f>K8-C8</f>
        <v>#REF!</v>
      </c>
      <c r="Q9" s="195" t="e">
        <f>D8-Q8</f>
        <v>#REF!</v>
      </c>
    </row>
    <row r="10" spans="1:18" s="41" customFormat="1" ht="33" customHeight="1" x14ac:dyDescent="0.25">
      <c r="A10" s="878">
        <v>2</v>
      </c>
      <c r="B10" s="877" t="s">
        <v>523</v>
      </c>
      <c r="C10" s="149" t="e">
        <f t="shared" si="1"/>
        <v>#REF!</v>
      </c>
      <c r="D10" s="149" t="e">
        <f>9270.154289-E10-F10-G10-H10</f>
        <v>#REF!</v>
      </c>
      <c r="E10" s="149" t="e">
        <f>'5.12'!K12</f>
        <v>#REF!</v>
      </c>
      <c r="F10" s="149">
        <v>0</v>
      </c>
      <c r="G10" s="124">
        <v>556.327316</v>
      </c>
      <c r="H10" s="149">
        <v>0</v>
      </c>
      <c r="I10" s="557" t="e">
        <f>'5.11'!G12</f>
        <v>#REF!</v>
      </c>
      <c r="J10" s="560" t="e">
        <f>C10-I10</f>
        <v>#REF!</v>
      </c>
      <c r="Q10" s="195"/>
    </row>
    <row r="11" spans="1:18" ht="31.5" customHeight="1" x14ac:dyDescent="0.25">
      <c r="A11" s="68">
        <v>3</v>
      </c>
      <c r="B11" s="69" t="s">
        <v>576</v>
      </c>
      <c r="C11" s="154" t="e">
        <f t="shared" si="1"/>
        <v>#REF!</v>
      </c>
      <c r="D11" s="154" t="e">
        <f>8641.295231-E11-G11</f>
        <v>#REF!</v>
      </c>
      <c r="E11" s="149" t="e">
        <f>'5.12'!K13</f>
        <v>#REF!</v>
      </c>
      <c r="F11" s="154">
        <v>0</v>
      </c>
      <c r="G11" s="124">
        <v>1992.319242</v>
      </c>
      <c r="H11" s="154">
        <v>0</v>
      </c>
      <c r="I11" s="557" t="e">
        <f>'5.11'!G13</f>
        <v>#REF!</v>
      </c>
      <c r="J11" s="589" t="e">
        <f t="shared" ref="J11:J13" si="2">C11-I11</f>
        <v>#REF!</v>
      </c>
      <c r="K11" s="36">
        <f>'5.31'!E48</f>
        <v>625.00759800000003</v>
      </c>
    </row>
    <row r="12" spans="1:18" ht="31.5" customHeight="1" x14ac:dyDescent="0.25">
      <c r="A12" s="598">
        <v>4</v>
      </c>
      <c r="B12" s="69" t="s">
        <v>601</v>
      </c>
      <c r="C12" s="154" t="e">
        <f t="shared" si="1"/>
        <v>#REF!</v>
      </c>
      <c r="D12" s="154">
        <v>1824.876677</v>
      </c>
      <c r="E12" s="149" t="e">
        <f>'5.12'!K14</f>
        <v>#REF!</v>
      </c>
      <c r="F12" s="154">
        <v>0</v>
      </c>
      <c r="G12" s="124">
        <v>1914.0241900000001</v>
      </c>
      <c r="H12" s="154"/>
      <c r="I12" s="557" t="e">
        <f>'5.11'!G14</f>
        <v>#REF!</v>
      </c>
      <c r="J12" s="589" t="e">
        <f t="shared" si="2"/>
        <v>#REF!</v>
      </c>
    </row>
    <row r="13" spans="1:18" ht="31.5" customHeight="1" x14ac:dyDescent="0.25">
      <c r="A13" s="598">
        <v>5</v>
      </c>
      <c r="B13" s="69" t="s">
        <v>524</v>
      </c>
      <c r="C13" s="154">
        <f t="shared" si="1"/>
        <v>9453.0699160000004</v>
      </c>
      <c r="D13" s="154">
        <f>9453.069916-E13-F13-G13-H13</f>
        <v>825.16396699999871</v>
      </c>
      <c r="E13" s="149">
        <f>'5.12'!K15</f>
        <v>7180.6020000000017</v>
      </c>
      <c r="F13" s="158">
        <v>0</v>
      </c>
      <c r="G13" s="122">
        <v>1430.170699</v>
      </c>
      <c r="H13" s="158">
        <v>17.13325</v>
      </c>
      <c r="I13" s="557">
        <f>'5.11'!G15</f>
        <v>9349.0584060000165</v>
      </c>
      <c r="J13" s="589">
        <f t="shared" si="2"/>
        <v>104.0115099999839</v>
      </c>
    </row>
    <row r="14" spans="1:18" ht="33.75" customHeight="1" x14ac:dyDescent="0.25">
      <c r="A14" s="598">
        <v>6</v>
      </c>
      <c r="B14" s="69" t="s">
        <v>525</v>
      </c>
      <c r="C14" s="154" t="e">
        <f>SUM(D14:H14)</f>
        <v>#REF!</v>
      </c>
      <c r="D14" s="154" t="e">
        <f>6838.115439-E14-F14-G14-H14</f>
        <v>#REF!</v>
      </c>
      <c r="E14" s="149" t="e">
        <f>'5.12'!K16-F14</f>
        <v>#REF!</v>
      </c>
      <c r="F14" s="154">
        <v>5</v>
      </c>
      <c r="G14" s="122">
        <v>883.14211799999998</v>
      </c>
      <c r="H14" s="154">
        <v>116.688</v>
      </c>
      <c r="I14" s="557" t="e">
        <f>'5.11'!G16</f>
        <v>#REF!</v>
      </c>
      <c r="J14" s="560" t="e">
        <f>C14-I14</f>
        <v>#REF!</v>
      </c>
    </row>
    <row r="15" spans="1:18" ht="30" customHeight="1" x14ac:dyDescent="0.25">
      <c r="A15" s="598">
        <v>7</v>
      </c>
      <c r="B15" s="69" t="s">
        <v>526</v>
      </c>
      <c r="C15" s="154">
        <f>SUM(D15:H15)</f>
        <v>10784.477175</v>
      </c>
      <c r="D15" s="154">
        <f>10784.477175-E15-F15-G15-H15</f>
        <v>788.35932700001138</v>
      </c>
      <c r="E15" s="149">
        <f>'5.12'!K17-F15</f>
        <v>7795.9309999999887</v>
      </c>
      <c r="F15" s="158">
        <v>76.400000000000006</v>
      </c>
      <c r="G15" s="122">
        <v>2080.3345989999998</v>
      </c>
      <c r="H15" s="158">
        <v>43.452249000000002</v>
      </c>
      <c r="I15" s="850">
        <f>'5.11'!G17</f>
        <v>10436.994044999978</v>
      </c>
      <c r="J15" s="560">
        <f>C15-I15</f>
        <v>347.48313000002236</v>
      </c>
      <c r="K15" s="851"/>
    </row>
    <row r="16" spans="1:18" ht="32.450000000000003" customHeight="1" x14ac:dyDescent="0.25">
      <c r="A16" s="845">
        <v>8</v>
      </c>
      <c r="B16" s="846" t="s">
        <v>527</v>
      </c>
      <c r="C16" s="160">
        <f t="shared" si="1"/>
        <v>8958.9769309999992</v>
      </c>
      <c r="D16" s="540">
        <f>8958.976931-E16-F16-G16-H16</f>
        <v>1142.2326549999875</v>
      </c>
      <c r="E16" s="1051">
        <f>'5.12'!K18</f>
        <v>6309.5750000000116</v>
      </c>
      <c r="F16" s="160">
        <v>0</v>
      </c>
      <c r="G16" s="118">
        <v>1419.216813</v>
      </c>
      <c r="H16" s="160">
        <v>87.952462999999995</v>
      </c>
      <c r="I16" s="850">
        <f>'5.11'!G18</f>
        <v>8912.77617500001</v>
      </c>
      <c r="J16" s="560">
        <f>C16-I16</f>
        <v>46.200755999989269</v>
      </c>
    </row>
    <row r="17" spans="3:9" ht="16.5" x14ac:dyDescent="0.3">
      <c r="D17" s="852"/>
    </row>
    <row r="18" spans="3:9" x14ac:dyDescent="0.25">
      <c r="D18" s="288"/>
    </row>
    <row r="19" spans="3:9" x14ac:dyDescent="0.25">
      <c r="D19" s="505"/>
      <c r="E19" s="46"/>
    </row>
    <row r="20" spans="3:9" x14ac:dyDescent="0.25">
      <c r="D20" s="288"/>
      <c r="E20" s="46"/>
      <c r="F20" s="46"/>
      <c r="H20" s="504"/>
    </row>
    <row r="21" spans="3:9" x14ac:dyDescent="0.25">
      <c r="D21" s="288"/>
      <c r="I21" s="555"/>
    </row>
    <row r="22" spans="3:9" x14ac:dyDescent="0.25">
      <c r="C22" s="593"/>
      <c r="D22" s="288"/>
    </row>
    <row r="23" spans="3:9" x14ac:dyDescent="0.25">
      <c r="D23" s="288"/>
    </row>
    <row r="24" spans="3:9" x14ac:dyDescent="0.25">
      <c r="D24" s="288"/>
    </row>
    <row r="25" spans="3:9" x14ac:dyDescent="0.25">
      <c r="D25" s="288"/>
    </row>
  </sheetData>
  <mergeCells count="6">
    <mergeCell ref="A2:H2"/>
    <mergeCell ref="A5:A6"/>
    <mergeCell ref="B5:B6"/>
    <mergeCell ref="C5:C6"/>
    <mergeCell ref="D5:H5"/>
    <mergeCell ref="A3:H3"/>
  </mergeCells>
  <printOptions horizontalCentered="1"/>
  <pageMargins left="0.23622047244094491" right="0.27559055118110237" top="0.78740157480314965" bottom="0.78740157480314965" header="0.51181102362204722" footer="0.31496062992125984"/>
  <pageSetup paperSize="9" scale="95" firstPageNumber="34" orientation="landscape" useFirstPageNumber="1" r:id="rId1"/>
  <headerFooter>
    <oddHeader>&amp;RBiểu số 5.13</oddHeader>
    <oddFooter>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39997558519241921"/>
  </sheetPr>
  <dimension ref="A1:S31"/>
  <sheetViews>
    <sheetView view="pageBreakPreview" zoomScaleNormal="80" zoomScaleSheetLayoutView="100" workbookViewId="0">
      <pane xSplit="2" ySplit="8" topLeftCell="C9" activePane="bottomRight" state="frozen"/>
      <selection pane="topRight" activeCell="C1" sqref="C1"/>
      <selection pane="bottomLeft" activeCell="A10" sqref="A10"/>
      <selection pane="bottomRight" activeCell="F7" sqref="F7"/>
    </sheetView>
  </sheetViews>
  <sheetFormatPr defaultColWidth="9.140625" defaultRowHeight="15" x14ac:dyDescent="0.25"/>
  <cols>
    <col min="1" max="1" width="6.7109375" style="1603" customWidth="1"/>
    <col min="2" max="2" width="30.140625" style="41" customWidth="1"/>
    <col min="3" max="3" width="16.7109375" style="1611" customWidth="1"/>
    <col min="4" max="4" width="12.28515625" style="1611" customWidth="1"/>
    <col min="5" max="5" width="16.7109375" style="1" customWidth="1"/>
    <col min="6" max="6" width="17.7109375" style="1612" customWidth="1"/>
    <col min="7" max="7" width="11.42578125" style="1611" customWidth="1"/>
    <col min="8" max="8" width="17" style="1" customWidth="1"/>
    <col min="9" max="9" width="16.42578125" style="1611" customWidth="1"/>
    <col min="10" max="10" width="14.5703125" style="1611" customWidth="1"/>
    <col min="11" max="11" width="23.85546875" style="1611" customWidth="1"/>
    <col min="12" max="12" width="4.42578125" style="41" customWidth="1"/>
    <col min="13" max="13" width="11.85546875" style="41" hidden="1" customWidth="1"/>
    <col min="14" max="14" width="17.5703125" style="41" hidden="1" customWidth="1"/>
    <col min="15" max="15" width="12.7109375" style="41" hidden="1" customWidth="1"/>
    <col min="16" max="16" width="9.140625" style="41" hidden="1" customWidth="1"/>
    <col min="17" max="17" width="14.7109375" style="195" hidden="1" customWidth="1"/>
    <col min="18" max="18" width="13.28515625" style="41" customWidth="1"/>
    <col min="19" max="19" width="12" style="151" bestFit="1" customWidth="1"/>
    <col min="20" max="16384" width="9.140625" style="41"/>
  </cols>
  <sheetData>
    <row r="1" spans="1:19" ht="23.25" customHeight="1" x14ac:dyDescent="0.25">
      <c r="A1" s="3193" t="str">
        <f>'48_NĐ31'!A1</f>
        <v xml:space="preserve">UBND PHƯỜNG BẮC KẠN </v>
      </c>
      <c r="B1" s="3193"/>
      <c r="C1" s="3193"/>
      <c r="J1" s="3194" t="s">
        <v>926</v>
      </c>
      <c r="K1" s="3194"/>
    </row>
    <row r="2" spans="1:19" ht="23.25" hidden="1" customHeight="1" x14ac:dyDescent="0.25">
      <c r="A2" s="3206" t="s">
        <v>1519</v>
      </c>
      <c r="B2" s="3206"/>
      <c r="C2" s="3206"/>
      <c r="D2" s="3206"/>
      <c r="E2" s="3206"/>
      <c r="F2" s="3206"/>
      <c r="G2" s="3206"/>
      <c r="H2" s="3206"/>
      <c r="I2" s="3206"/>
      <c r="J2" s="3206"/>
      <c r="K2" s="3206"/>
    </row>
    <row r="3" spans="1:19" s="196" customFormat="1" ht="36" customHeight="1" x14ac:dyDescent="0.25">
      <c r="A3" s="3195" t="s">
        <v>1974</v>
      </c>
      <c r="B3" s="3195"/>
      <c r="C3" s="3195"/>
      <c r="D3" s="3195"/>
      <c r="E3" s="3195"/>
      <c r="F3" s="3195"/>
      <c r="G3" s="3195"/>
      <c r="H3" s="3195"/>
      <c r="I3" s="3195"/>
      <c r="J3" s="3195"/>
      <c r="K3" s="3195"/>
      <c r="Q3" s="198"/>
      <c r="S3" s="199"/>
    </row>
    <row r="4" spans="1:19" ht="19.899999999999999" customHeight="1" x14ac:dyDescent="0.25">
      <c r="A4" s="3202" t="str">
        <f>'48_NĐ31'!A4:G4</f>
        <v>(Kèm theo Quyết định số          /QĐ-UBND ngày          /4/2026 của UBND phường Bắc Kạn)</v>
      </c>
      <c r="B4" s="3202"/>
      <c r="C4" s="3202"/>
      <c r="D4" s="3202"/>
      <c r="E4" s="3202"/>
      <c r="F4" s="3202"/>
      <c r="G4" s="3202"/>
      <c r="H4" s="3202"/>
      <c r="I4" s="3202"/>
      <c r="J4" s="3202"/>
      <c r="K4" s="3202"/>
    </row>
    <row r="5" spans="1:19" ht="23.25" customHeight="1" x14ac:dyDescent="0.25">
      <c r="C5" s="3203"/>
      <c r="D5" s="3204"/>
      <c r="E5" s="3204"/>
      <c r="F5" s="3204"/>
      <c r="G5" s="3204"/>
      <c r="H5" s="1613"/>
      <c r="J5" s="3205" t="s">
        <v>1187</v>
      </c>
      <c r="K5" s="3205"/>
    </row>
    <row r="6" spans="1:19" s="1575" customFormat="1" ht="21" customHeight="1" x14ac:dyDescent="0.25">
      <c r="A6" s="3196" t="s">
        <v>0</v>
      </c>
      <c r="B6" s="3196" t="s">
        <v>52</v>
      </c>
      <c r="C6" s="3197" t="s">
        <v>597</v>
      </c>
      <c r="D6" s="3199" t="s">
        <v>14</v>
      </c>
      <c r="E6" s="3200"/>
      <c r="F6" s="3200"/>
      <c r="G6" s="3201"/>
      <c r="H6" s="3198" t="s">
        <v>449</v>
      </c>
      <c r="I6" s="3197" t="s">
        <v>450</v>
      </c>
      <c r="J6" s="3197" t="s">
        <v>47</v>
      </c>
      <c r="K6" s="3197"/>
      <c r="Q6" s="1576"/>
      <c r="S6" s="1577"/>
    </row>
    <row r="7" spans="1:19" s="1575" customFormat="1" ht="71.25" customHeight="1" x14ac:dyDescent="0.25">
      <c r="A7" s="3196"/>
      <c r="B7" s="3196"/>
      <c r="C7" s="3197"/>
      <c r="D7" s="1614" t="s">
        <v>1516</v>
      </c>
      <c r="E7" s="1615" t="s">
        <v>451</v>
      </c>
      <c r="F7" s="1616" t="s">
        <v>1517</v>
      </c>
      <c r="G7" s="1614" t="s">
        <v>1518</v>
      </c>
      <c r="H7" s="3198"/>
      <c r="I7" s="3197"/>
      <c r="J7" s="1614" t="s">
        <v>452</v>
      </c>
      <c r="K7" s="1614" t="s">
        <v>453</v>
      </c>
      <c r="Q7" s="1576"/>
      <c r="S7" s="1577"/>
    </row>
    <row r="8" spans="1:19" s="1579" customFormat="1" ht="26.25" customHeight="1" x14ac:dyDescent="0.25">
      <c r="A8" s="1578" t="s">
        <v>3</v>
      </c>
      <c r="B8" s="1578" t="s">
        <v>4</v>
      </c>
      <c r="C8" s="1617" t="s">
        <v>491</v>
      </c>
      <c r="D8" s="1617">
        <v>2</v>
      </c>
      <c r="E8" s="1618">
        <v>3</v>
      </c>
      <c r="F8" s="1619">
        <v>4</v>
      </c>
      <c r="G8" s="1617">
        <v>5</v>
      </c>
      <c r="H8" s="1618">
        <v>6</v>
      </c>
      <c r="I8" s="1617" t="s">
        <v>492</v>
      </c>
      <c r="J8" s="1617">
        <v>8</v>
      </c>
      <c r="K8" s="1617">
        <v>9</v>
      </c>
      <c r="M8" s="1579" t="s">
        <v>1511</v>
      </c>
      <c r="N8" s="1579" t="s">
        <v>1512</v>
      </c>
      <c r="Q8" s="1580"/>
      <c r="S8" s="1580"/>
    </row>
    <row r="9" spans="1:19" s="1575" customFormat="1" ht="30.75" customHeight="1" x14ac:dyDescent="0.25">
      <c r="A9" s="1574"/>
      <c r="B9" s="1574" t="s">
        <v>29</v>
      </c>
      <c r="C9" s="2469">
        <f>SUM(D9:G9)</f>
        <v>311382568.24799997</v>
      </c>
      <c r="D9" s="2470">
        <f>SUM(D10:D31)</f>
        <v>0</v>
      </c>
      <c r="E9" s="2469">
        <f>SUM(E10:E31)</f>
        <v>109372144.96599999</v>
      </c>
      <c r="F9" s="2469">
        <f>SUM(F10:F31)</f>
        <v>202010423.28199998</v>
      </c>
      <c r="G9" s="2470">
        <f>SUM(G10:G31)</f>
        <v>0</v>
      </c>
      <c r="H9" s="2469">
        <f>SUM(H10:H30)</f>
        <v>304227425.64499998</v>
      </c>
      <c r="I9" s="2469">
        <f t="shared" ref="I9:K9" si="0">SUM(I10:I30)</f>
        <v>7155142.6030000076</v>
      </c>
      <c r="J9" s="2469">
        <f t="shared" si="0"/>
        <v>4261387.6950000012</v>
      </c>
      <c r="K9" s="2469">
        <f t="shared" si="0"/>
        <v>2893754.9080000063</v>
      </c>
      <c r="L9" s="1581"/>
      <c r="M9" s="1577"/>
      <c r="N9" s="1581"/>
      <c r="Q9" s="1576"/>
      <c r="S9" s="1577"/>
    </row>
    <row r="10" spans="1:19" s="1584" customFormat="1" ht="19.149999999999999" customHeight="1" x14ac:dyDescent="0.25">
      <c r="A10" s="1626">
        <v>1</v>
      </c>
      <c r="B10" s="1627" t="s">
        <v>516</v>
      </c>
      <c r="C10" s="2458">
        <f>D10+E10+F10+G10</f>
        <v>100860543.402</v>
      </c>
      <c r="D10" s="2458"/>
      <c r="E10" s="2458">
        <v>6260300</v>
      </c>
      <c r="F10" s="2459">
        <f>99100243.402-4500000</f>
        <v>94600243.401999995</v>
      </c>
      <c r="G10" s="2458"/>
      <c r="H10" s="2458">
        <f>'56_NĐ31'!D11</f>
        <v>100765368.79399998</v>
      </c>
      <c r="I10" s="2459">
        <f t="shared" ref="I10:I15" si="1">C10-H10</f>
        <v>95174.608000010252</v>
      </c>
      <c r="J10" s="2459"/>
      <c r="K10" s="2459">
        <f t="shared" ref="K10:K17" si="2">I10-J10</f>
        <v>95174.608000010252</v>
      </c>
      <c r="L10" s="1583"/>
      <c r="Q10" s="1585"/>
      <c r="S10" s="1586"/>
    </row>
    <row r="11" spans="1:19" s="1584" customFormat="1" ht="19.149999999999999" customHeight="1" x14ac:dyDescent="0.25">
      <c r="A11" s="1604">
        <v>2</v>
      </c>
      <c r="B11" s="1582" t="s">
        <v>954</v>
      </c>
      <c r="C11" s="1620">
        <f>D11+E11+F11+G11</f>
        <v>10551631.65</v>
      </c>
      <c r="D11" s="1620"/>
      <c r="E11" s="1620">
        <v>4262000</v>
      </c>
      <c r="F11" s="2460">
        <v>6289631.6500000004</v>
      </c>
      <c r="G11" s="1620"/>
      <c r="H11" s="1620">
        <f>'56_NĐ31'!D12</f>
        <v>8839846.3299999982</v>
      </c>
      <c r="I11" s="2460">
        <f t="shared" si="1"/>
        <v>1711785.3200000022</v>
      </c>
      <c r="J11" s="2460">
        <f>3600+67936.7+2000+169570+14000</f>
        <v>257106.7</v>
      </c>
      <c r="K11" s="2460">
        <f t="shared" si="2"/>
        <v>1454678.6200000022</v>
      </c>
      <c r="L11" s="1587"/>
      <c r="M11" s="1610">
        <f>86000+496000+175810.703+700+38575</f>
        <v>797085.70299999998</v>
      </c>
      <c r="Q11" s="1586">
        <v>6289631.6500000004</v>
      </c>
      <c r="R11" s="2467">
        <f>F11-Q11</f>
        <v>0</v>
      </c>
      <c r="S11" s="1586"/>
    </row>
    <row r="12" spans="1:19" s="1575" customFormat="1" ht="19.149999999999999" customHeight="1" x14ac:dyDescent="0.25">
      <c r="A12" s="1604">
        <v>3</v>
      </c>
      <c r="B12" s="1588" t="s">
        <v>1495</v>
      </c>
      <c r="C12" s="1621">
        <f>D12+E12+F12+G12</f>
        <v>56519586.200000003</v>
      </c>
      <c r="D12" s="1621"/>
      <c r="E12" s="1620">
        <v>10020600</v>
      </c>
      <c r="F12" s="2461">
        <v>46498986.200000003</v>
      </c>
      <c r="G12" s="1621"/>
      <c r="H12" s="1620">
        <f>'56_NĐ31'!D13</f>
        <v>55827014.185000002</v>
      </c>
      <c r="I12" s="2461">
        <f t="shared" si="1"/>
        <v>692572.0150000006</v>
      </c>
      <c r="J12" s="2461">
        <f>14480+59450+16900</f>
        <v>90830</v>
      </c>
      <c r="K12" s="2461">
        <f t="shared" si="2"/>
        <v>601742.0150000006</v>
      </c>
      <c r="L12" s="1589"/>
      <c r="M12" s="1575">
        <f>700+5200+261620+106600</f>
        <v>374120</v>
      </c>
      <c r="N12" s="1581"/>
      <c r="Q12" s="1577"/>
      <c r="S12" s="1577"/>
    </row>
    <row r="13" spans="1:19" s="1575" customFormat="1" ht="34.5" customHeight="1" x14ac:dyDescent="0.25">
      <c r="A13" s="1604">
        <v>4</v>
      </c>
      <c r="B13" s="1588" t="s">
        <v>942</v>
      </c>
      <c r="C13" s="1621">
        <f t="shared" ref="C13:C22" si="3">D13+E13+F13+G13</f>
        <v>3646413.1540000001</v>
      </c>
      <c r="D13" s="1621"/>
      <c r="E13" s="1620">
        <v>845819.96600000001</v>
      </c>
      <c r="F13" s="2461">
        <v>2800593.1880000001</v>
      </c>
      <c r="G13" s="1621"/>
      <c r="H13" s="1620">
        <f>'56_NĐ31'!D14</f>
        <v>3612232.432</v>
      </c>
      <c r="I13" s="2461">
        <f t="shared" si="1"/>
        <v>34180.722000000067</v>
      </c>
      <c r="J13" s="2461"/>
      <c r="K13" s="2461">
        <f t="shared" si="2"/>
        <v>34180.722000000067</v>
      </c>
      <c r="M13" s="1575">
        <v>34180.722000000002</v>
      </c>
      <c r="N13" s="1581"/>
      <c r="Q13" s="1577"/>
      <c r="S13" s="1577"/>
    </row>
    <row r="14" spans="1:19" s="1575" customFormat="1" ht="19.149999999999999" customHeight="1" x14ac:dyDescent="0.25">
      <c r="A14" s="1604">
        <v>5</v>
      </c>
      <c r="B14" s="1588" t="s">
        <v>1391</v>
      </c>
      <c r="C14" s="1621">
        <f>D14+E14+F14+G14</f>
        <v>39615065.469999999</v>
      </c>
      <c r="D14" s="1621"/>
      <c r="E14" s="1620">
        <v>1211500</v>
      </c>
      <c r="F14" s="2461">
        <v>38403565.469999999</v>
      </c>
      <c r="G14" s="1621"/>
      <c r="H14" s="1620">
        <f>'56_NĐ31'!D15</f>
        <v>35713597.990000002</v>
      </c>
      <c r="I14" s="2461">
        <f t="shared" si="1"/>
        <v>3901467.4799999967</v>
      </c>
      <c r="J14" s="2461">
        <f>1850000+2000000</f>
        <v>3850000</v>
      </c>
      <c r="K14" s="2460">
        <f t="shared" si="2"/>
        <v>51467.479999996722</v>
      </c>
      <c r="L14" s="1589"/>
      <c r="M14" s="1575">
        <v>43500</v>
      </c>
      <c r="O14" s="1609">
        <f>K14-M14</f>
        <v>7967.4799999967217</v>
      </c>
      <c r="Q14" s="1576"/>
      <c r="R14" s="1576"/>
      <c r="S14" s="1577"/>
    </row>
    <row r="15" spans="1:19" s="1584" customFormat="1" ht="19.149999999999999" customHeight="1" x14ac:dyDescent="0.25">
      <c r="A15" s="1604">
        <v>6</v>
      </c>
      <c r="B15" s="1582" t="s">
        <v>1486</v>
      </c>
      <c r="C15" s="1620">
        <f>D15+E15+F15+G15</f>
        <v>8773491</v>
      </c>
      <c r="D15" s="1620"/>
      <c r="E15" s="1620">
        <v>7988926</v>
      </c>
      <c r="F15" s="2460">
        <v>784565</v>
      </c>
      <c r="G15" s="1620"/>
      <c r="H15" s="1620">
        <f>'56_NĐ31'!D16</f>
        <v>8708186.6809999999</v>
      </c>
      <c r="I15" s="2460">
        <f t="shared" si="1"/>
        <v>65304.319000000134</v>
      </c>
      <c r="J15" s="2460">
        <v>21312</v>
      </c>
      <c r="K15" s="2460">
        <f t="shared" si="2"/>
        <v>43992.319000000134</v>
      </c>
      <c r="L15" s="1583"/>
      <c r="M15" s="1584">
        <v>43992</v>
      </c>
      <c r="N15" s="1585">
        <v>319</v>
      </c>
      <c r="Q15" s="1585"/>
      <c r="R15" s="1585"/>
      <c r="S15" s="1586"/>
    </row>
    <row r="16" spans="1:19" s="1584" customFormat="1" ht="19.149999999999999" customHeight="1" x14ac:dyDescent="0.25">
      <c r="A16" s="1604">
        <v>7</v>
      </c>
      <c r="B16" s="1582" t="s">
        <v>1487</v>
      </c>
      <c r="C16" s="1620">
        <f t="shared" si="3"/>
        <v>9355490.1999999993</v>
      </c>
      <c r="D16" s="1620"/>
      <c r="E16" s="1620">
        <v>8365811</v>
      </c>
      <c r="F16" s="2460">
        <v>989679.2</v>
      </c>
      <c r="G16" s="1620"/>
      <c r="H16" s="1620">
        <f>'56_NĐ31'!D17</f>
        <v>9323127.5580000002</v>
      </c>
      <c r="I16" s="2460">
        <f t="shared" ref="I16:I20" si="4">C16-H16</f>
        <v>32362.641999999061</v>
      </c>
      <c r="J16" s="2460">
        <f>18763.2+99</f>
        <v>18862.2</v>
      </c>
      <c r="K16" s="2460">
        <f t="shared" si="2"/>
        <v>13500.44199999906</v>
      </c>
      <c r="M16" s="1584">
        <v>13500.441999999999</v>
      </c>
      <c r="Q16" s="1585"/>
      <c r="R16" s="1585"/>
      <c r="S16" s="1586"/>
    </row>
    <row r="17" spans="1:19" s="1584" customFormat="1" ht="19.149999999999999" customHeight="1" x14ac:dyDescent="0.25">
      <c r="A17" s="1604">
        <v>8</v>
      </c>
      <c r="B17" s="1582" t="s">
        <v>1488</v>
      </c>
      <c r="C17" s="1620">
        <f>D17+E17+F17+G17</f>
        <v>3573722.16</v>
      </c>
      <c r="D17" s="1620"/>
      <c r="E17" s="2462">
        <v>3303607</v>
      </c>
      <c r="F17" s="2460">
        <v>270115.15999999997</v>
      </c>
      <c r="G17" s="1620"/>
      <c r="H17" s="1620">
        <f>'56_NĐ31'!D18</f>
        <v>3516938.8</v>
      </c>
      <c r="I17" s="2460">
        <f>C17-H17</f>
        <v>56783.360000000335</v>
      </c>
      <c r="J17" s="2460">
        <v>6047.16</v>
      </c>
      <c r="K17" s="2460">
        <f t="shared" si="2"/>
        <v>50736.200000000332</v>
      </c>
      <c r="L17" s="1587"/>
      <c r="M17" s="1584">
        <f>50736.2</f>
        <v>50736.2</v>
      </c>
      <c r="Q17" s="1585"/>
      <c r="R17" s="1585"/>
      <c r="S17" s="1586"/>
    </row>
    <row r="18" spans="1:19" s="1575" customFormat="1" ht="19.5" customHeight="1" x14ac:dyDescent="0.25">
      <c r="A18" s="1604">
        <v>9</v>
      </c>
      <c r="B18" s="1588" t="s">
        <v>1489</v>
      </c>
      <c r="C18" s="1621">
        <f>D18+E18+F18+G18</f>
        <v>3359151.9</v>
      </c>
      <c r="D18" s="1621"/>
      <c r="E18" s="1620">
        <v>3121388</v>
      </c>
      <c r="F18" s="2461">
        <v>237763.9</v>
      </c>
      <c r="G18" s="1621"/>
      <c r="H18" s="1620">
        <f>'56_NĐ31'!D19</f>
        <v>3335542.5</v>
      </c>
      <c r="I18" s="2461">
        <f t="shared" si="4"/>
        <v>23609.399999999907</v>
      </c>
      <c r="J18" s="2460">
        <v>2019.4</v>
      </c>
      <c r="K18" s="2461">
        <f t="shared" ref="K18:K22" si="5">I18-J18</f>
        <v>21589.999999999905</v>
      </c>
      <c r="M18" s="1575">
        <v>21590</v>
      </c>
      <c r="Q18" s="1576"/>
      <c r="R18" s="1576"/>
      <c r="S18" s="1577"/>
    </row>
    <row r="19" spans="1:19" s="1584" customFormat="1" ht="19.149999999999999" customHeight="1" x14ac:dyDescent="0.25">
      <c r="A19" s="1604">
        <v>10</v>
      </c>
      <c r="B19" s="1590" t="s">
        <v>1490</v>
      </c>
      <c r="C19" s="1620">
        <f>D19+E19+F19+G19</f>
        <v>13767940</v>
      </c>
      <c r="D19" s="1620"/>
      <c r="E19" s="1620">
        <v>12302020</v>
      </c>
      <c r="F19" s="2460">
        <v>1465920</v>
      </c>
      <c r="G19" s="1620"/>
      <c r="H19" s="1620">
        <f>'56_NĐ31'!D20</f>
        <v>13695230.123</v>
      </c>
      <c r="I19" s="2460">
        <f>C19-H19</f>
        <v>72709.877000000328</v>
      </c>
      <c r="J19" s="2460">
        <v>1709.174</v>
      </c>
      <c r="K19" s="2460">
        <f>I19-J19</f>
        <v>71000.703000000329</v>
      </c>
      <c r="L19" s="1583"/>
      <c r="M19" s="1584">
        <v>71000.679999999993</v>
      </c>
      <c r="N19" s="1584">
        <f>23/1000</f>
        <v>2.3E-2</v>
      </c>
      <c r="Q19" s="1585"/>
      <c r="S19" s="1586"/>
    </row>
    <row r="20" spans="1:19" s="1584" customFormat="1" ht="40.5" customHeight="1" x14ac:dyDescent="0.25">
      <c r="A20" s="1604">
        <v>11</v>
      </c>
      <c r="B20" s="1590" t="s">
        <v>1491</v>
      </c>
      <c r="C20" s="1620">
        <f t="shared" si="3"/>
        <v>12371183</v>
      </c>
      <c r="D20" s="1620"/>
      <c r="E20" s="1620">
        <v>11145049</v>
      </c>
      <c r="F20" s="2460">
        <v>1226134</v>
      </c>
      <c r="G20" s="1620"/>
      <c r="H20" s="1620">
        <f>'56_NĐ31'!D21</f>
        <v>12307945.481000001</v>
      </c>
      <c r="I20" s="2460">
        <f t="shared" si="4"/>
        <v>63237.518999999389</v>
      </c>
      <c r="J20" s="2460">
        <v>1852.652</v>
      </c>
      <c r="K20" s="2460">
        <f t="shared" si="5"/>
        <v>61384.866999999387</v>
      </c>
      <c r="M20" s="1584">
        <v>61384.364000000001</v>
      </c>
      <c r="N20" s="1584">
        <v>503</v>
      </c>
      <c r="Q20" s="1585"/>
      <c r="S20" s="1586"/>
    </row>
    <row r="21" spans="1:19" s="1584" customFormat="1" ht="38.25" customHeight="1" x14ac:dyDescent="0.25">
      <c r="A21" s="1604">
        <v>12</v>
      </c>
      <c r="B21" s="1582" t="s">
        <v>1492</v>
      </c>
      <c r="C21" s="1620">
        <f t="shared" si="3"/>
        <v>8225863.5</v>
      </c>
      <c r="D21" s="1620"/>
      <c r="E21" s="1620">
        <v>7487629</v>
      </c>
      <c r="F21" s="2460">
        <v>738234.5</v>
      </c>
      <c r="G21" s="1620"/>
      <c r="H21" s="1620">
        <f>'56_NĐ31'!D22</f>
        <v>8177019.6069999998</v>
      </c>
      <c r="I21" s="2460">
        <f t="shared" ref="I21:I27" si="6">C21-H21</f>
        <v>48843.893000000156</v>
      </c>
      <c r="J21" s="2460">
        <v>1643.713</v>
      </c>
      <c r="K21" s="2460">
        <f t="shared" si="5"/>
        <v>47200.180000000153</v>
      </c>
      <c r="L21" s="1587"/>
      <c r="M21" s="1584">
        <v>47199.76</v>
      </c>
      <c r="N21" s="1584">
        <v>420</v>
      </c>
      <c r="Q21" s="1585"/>
      <c r="S21" s="1586"/>
    </row>
    <row r="22" spans="1:19" s="1592" customFormat="1" ht="28.9" customHeight="1" x14ac:dyDescent="0.25">
      <c r="A22" s="1604">
        <v>13</v>
      </c>
      <c r="B22" s="1590" t="s">
        <v>1493</v>
      </c>
      <c r="C22" s="1620">
        <f t="shared" si="3"/>
        <v>8876670.1999999993</v>
      </c>
      <c r="D22" s="1620"/>
      <c r="E22" s="1620">
        <v>7772067</v>
      </c>
      <c r="F22" s="2460">
        <v>1104603.2</v>
      </c>
      <c r="G22" s="1620"/>
      <c r="H22" s="1620">
        <f>'56_NĐ31'!E23</f>
        <v>8704898.8629999999</v>
      </c>
      <c r="I22" s="2460">
        <f t="shared" si="6"/>
        <v>171771.33699999936</v>
      </c>
      <c r="J22" s="2460">
        <f>4413.2+573.496</f>
        <v>4986.6959999999999</v>
      </c>
      <c r="K22" s="2460">
        <f t="shared" si="5"/>
        <v>166784.64099999936</v>
      </c>
      <c r="L22" s="1591"/>
      <c r="M22" s="1592">
        <f>119215.435+27569.206</f>
        <v>146784.641</v>
      </c>
      <c r="N22" s="1592">
        <v>20000</v>
      </c>
      <c r="Q22" s="1593"/>
      <c r="S22" s="1594"/>
    </row>
    <row r="23" spans="1:19" s="1592" customFormat="1" ht="33" customHeight="1" x14ac:dyDescent="0.25">
      <c r="A23" s="1604">
        <v>14</v>
      </c>
      <c r="B23" s="1590" t="s">
        <v>1494</v>
      </c>
      <c r="C23" s="1620">
        <f>D23+E23+F23+G23</f>
        <v>18370533</v>
      </c>
      <c r="D23" s="1620"/>
      <c r="E23" s="1620">
        <v>16134728</v>
      </c>
      <c r="F23" s="2460">
        <v>2235805</v>
      </c>
      <c r="G23" s="1620"/>
      <c r="H23" s="1620">
        <f>'56_NĐ31'!E24</f>
        <v>18226526.679000001</v>
      </c>
      <c r="I23" s="2460">
        <f t="shared" si="6"/>
        <v>144006.3209999986</v>
      </c>
      <c r="J23" s="2460">
        <v>5018</v>
      </c>
      <c r="K23" s="2460">
        <f>I23-J23</f>
        <v>138988.3209999986</v>
      </c>
      <c r="L23" s="1591"/>
      <c r="M23" s="1592">
        <v>138988.20000000001</v>
      </c>
      <c r="N23" s="1592">
        <v>121</v>
      </c>
      <c r="Q23" s="1593"/>
      <c r="S23" s="1594"/>
    </row>
    <row r="24" spans="1:19" s="1596" customFormat="1" ht="20.100000000000001" customHeight="1" x14ac:dyDescent="0.25">
      <c r="A24" s="1604">
        <v>15</v>
      </c>
      <c r="B24" s="1595" t="s">
        <v>1380</v>
      </c>
      <c r="C24" s="1621">
        <f>D24+E24+F24+G24</f>
        <v>681285.58600000001</v>
      </c>
      <c r="D24" s="1621"/>
      <c r="E24" s="1620">
        <v>418000</v>
      </c>
      <c r="F24" s="2461">
        <v>263285.58600000001</v>
      </c>
      <c r="G24" s="1621"/>
      <c r="H24" s="1620">
        <f>'56_NĐ31'!D25</f>
        <v>681285.58600000001</v>
      </c>
      <c r="I24" s="2461">
        <f t="shared" si="6"/>
        <v>0</v>
      </c>
      <c r="J24" s="2461"/>
      <c r="K24" s="2533">
        <f t="shared" ref="K24:K26" si="7">I24-J24</f>
        <v>0</v>
      </c>
      <c r="Q24" s="1597"/>
      <c r="S24" s="1598"/>
    </row>
    <row r="25" spans="1:19" s="1596" customFormat="1" ht="20.100000000000001" customHeight="1" x14ac:dyDescent="0.25">
      <c r="A25" s="1604">
        <v>16</v>
      </c>
      <c r="B25" s="1599" t="s">
        <v>1379</v>
      </c>
      <c r="C25" s="1621">
        <f>D25+E25+F25+G25</f>
        <v>8017872.5140000004</v>
      </c>
      <c r="D25" s="1621"/>
      <c r="E25" s="1621">
        <v>4982000</v>
      </c>
      <c r="F25" s="2461">
        <v>3035872.514</v>
      </c>
      <c r="G25" s="1621"/>
      <c r="H25" s="1620">
        <f>'56_NĐ31'!D26</f>
        <v>8017872.5140000004</v>
      </c>
      <c r="I25" s="2461">
        <f t="shared" si="6"/>
        <v>0</v>
      </c>
      <c r="J25" s="2461"/>
      <c r="K25" s="2533">
        <f>I25-J25</f>
        <v>0</v>
      </c>
      <c r="Q25" s="1597"/>
      <c r="S25" s="1598"/>
    </row>
    <row r="26" spans="1:19" s="1596" customFormat="1" ht="30" customHeight="1" x14ac:dyDescent="0.25">
      <c r="A26" s="1604">
        <v>17</v>
      </c>
      <c r="B26" s="1595" t="s">
        <v>1381</v>
      </c>
      <c r="C26" s="1621">
        <f>D26+E26+F26+G26</f>
        <v>4183314.3119999999</v>
      </c>
      <c r="D26" s="1621"/>
      <c r="E26" s="1620">
        <v>3574700</v>
      </c>
      <c r="F26" s="2461">
        <v>608614.31200000003</v>
      </c>
      <c r="G26" s="1621"/>
      <c r="H26" s="1620">
        <f>'56_NĐ31'!D27</f>
        <v>4183314.3119999999</v>
      </c>
      <c r="I26" s="2461">
        <f t="shared" si="6"/>
        <v>0</v>
      </c>
      <c r="J26" s="2461"/>
      <c r="K26" s="2533">
        <f t="shared" si="7"/>
        <v>0</v>
      </c>
      <c r="Q26" s="1597"/>
      <c r="S26" s="1598"/>
    </row>
    <row r="27" spans="1:19" s="1575" customFormat="1" ht="20.100000000000001" customHeight="1" x14ac:dyDescent="0.25">
      <c r="A27" s="1604">
        <v>18</v>
      </c>
      <c r="B27" s="1600" t="s">
        <v>1520</v>
      </c>
      <c r="C27" s="1621">
        <f>D27+E27+F27+G27</f>
        <v>438486</v>
      </c>
      <c r="D27" s="1621"/>
      <c r="E27" s="1620">
        <v>176000</v>
      </c>
      <c r="F27" s="2461">
        <v>262486</v>
      </c>
      <c r="G27" s="1621"/>
      <c r="H27" s="1620">
        <f>'56_NĐ31'!D28</f>
        <v>397152.21</v>
      </c>
      <c r="I27" s="2461">
        <f t="shared" si="6"/>
        <v>41333.789999999979</v>
      </c>
      <c r="J27" s="1621"/>
      <c r="K27" s="1621">
        <f>I27-J27</f>
        <v>41333.789999999979</v>
      </c>
      <c r="Q27" s="1576"/>
      <c r="S27" s="1577"/>
    </row>
    <row r="28" spans="1:19" s="1575" customFormat="1" ht="20.25" customHeight="1" x14ac:dyDescent="0.25">
      <c r="A28" s="1604">
        <v>19</v>
      </c>
      <c r="B28" s="1601" t="s">
        <v>1377</v>
      </c>
      <c r="C28" s="1621">
        <f t="shared" ref="C28:C29" si="8">D28+E28+F28+G28</f>
        <v>124325</v>
      </c>
      <c r="D28" s="1621"/>
      <c r="E28" s="1620"/>
      <c r="F28" s="1620">
        <v>124325</v>
      </c>
      <c r="G28" s="1621"/>
      <c r="H28" s="1620">
        <f>'56_NĐ31'!D29</f>
        <v>124325</v>
      </c>
      <c r="I28" s="2461"/>
      <c r="J28" s="1621"/>
      <c r="K28" s="2533">
        <f t="shared" ref="K28:K30" si="9">I28-J28</f>
        <v>0</v>
      </c>
      <c r="Q28" s="1576"/>
      <c r="S28" s="1577"/>
    </row>
    <row r="29" spans="1:19" s="1575" customFormat="1" ht="20.25" customHeight="1" x14ac:dyDescent="0.25">
      <c r="A29" s="1604">
        <v>20</v>
      </c>
      <c r="B29" s="1601" t="s">
        <v>957</v>
      </c>
      <c r="C29" s="1621">
        <f t="shared" si="8"/>
        <v>35000</v>
      </c>
      <c r="D29" s="1621"/>
      <c r="E29" s="1620"/>
      <c r="F29" s="2461">
        <v>35000</v>
      </c>
      <c r="G29" s="1621"/>
      <c r="H29" s="1620">
        <f>'56_NĐ31'!D30</f>
        <v>35000</v>
      </c>
      <c r="I29" s="2461"/>
      <c r="J29" s="1621"/>
      <c r="K29" s="2533">
        <f t="shared" si="9"/>
        <v>0</v>
      </c>
      <c r="Q29" s="1576"/>
      <c r="S29" s="1577"/>
    </row>
    <row r="30" spans="1:19" s="1575" customFormat="1" ht="33" customHeight="1" x14ac:dyDescent="0.25">
      <c r="A30" s="1628">
        <v>21</v>
      </c>
      <c r="B30" s="1602" t="s">
        <v>1496</v>
      </c>
      <c r="C30" s="2463">
        <f>D30+E30+F30+G30</f>
        <v>35000</v>
      </c>
      <c r="D30" s="2464"/>
      <c r="E30" s="2465"/>
      <c r="F30" s="2466">
        <v>35000</v>
      </c>
      <c r="G30" s="2464"/>
      <c r="H30" s="2463">
        <f>'56_NĐ31'!R31</f>
        <v>35000</v>
      </c>
      <c r="I30" s="2464"/>
      <c r="J30" s="2464"/>
      <c r="K30" s="2534">
        <f t="shared" si="9"/>
        <v>0</v>
      </c>
      <c r="Q30" s="1576"/>
      <c r="S30" s="1577"/>
    </row>
    <row r="31" spans="1:19" ht="21" hidden="1" customHeight="1" x14ac:dyDescent="0.25">
      <c r="A31" s="1573">
        <v>4</v>
      </c>
      <c r="B31" s="1438" t="s">
        <v>1378</v>
      </c>
      <c r="C31" s="1622">
        <f>D31+E31+F31+G31</f>
        <v>0</v>
      </c>
      <c r="D31" s="1622"/>
      <c r="E31" s="1623"/>
      <c r="F31" s="1624"/>
      <c r="G31" s="1622"/>
      <c r="H31" s="1623" t="e">
        <f>'56_NĐ31'!#REF!</f>
        <v>#REF!</v>
      </c>
      <c r="I31" s="1624" t="e">
        <f>C31-H31</f>
        <v>#REF!</v>
      </c>
      <c r="J31" s="1622">
        <v>20.239999999999998</v>
      </c>
      <c r="K31" s="1625" t="e">
        <f>I31-J31</f>
        <v>#REF!</v>
      </c>
    </row>
  </sheetData>
  <mergeCells count="14">
    <mergeCell ref="A1:C1"/>
    <mergeCell ref="J1:K1"/>
    <mergeCell ref="A3:K3"/>
    <mergeCell ref="A6:A7"/>
    <mergeCell ref="B6:B7"/>
    <mergeCell ref="C6:C7"/>
    <mergeCell ref="H6:H7"/>
    <mergeCell ref="I6:I7"/>
    <mergeCell ref="J6:K6"/>
    <mergeCell ref="D6:G6"/>
    <mergeCell ref="A4:K4"/>
    <mergeCell ref="C5:G5"/>
    <mergeCell ref="J5:K5"/>
    <mergeCell ref="A2:K2"/>
  </mergeCells>
  <phoneticPr fontId="70" type="noConversion"/>
  <printOptions horizontalCentered="1"/>
  <pageMargins left="0.23622047244094499" right="0.66929133858267698" top="0.55118110236220497" bottom="0.47244094488188998" header="0.31496062992126" footer="0.31496062992126"/>
  <pageSetup paperSize="9" scale="76" firstPageNumber="24" orientation="landscape" useFirstPageNumber="1" r:id="rId1"/>
  <headerFooter>
    <oddFooter>&amp;C&amp;P</oddFooter>
  </headerFooter>
  <colBreaks count="1" manualBreakCount="1">
    <brk id="11"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39997558519241921"/>
  </sheetPr>
  <dimension ref="A1:AH60"/>
  <sheetViews>
    <sheetView view="pageBreakPreview" topLeftCell="A3" zoomScale="79" zoomScaleNormal="80" zoomScaleSheetLayoutView="79" zoomScalePageLayoutView="85" workbookViewId="0">
      <selection activeCell="K41" sqref="K41"/>
    </sheetView>
  </sheetViews>
  <sheetFormatPr defaultColWidth="8.85546875" defaultRowHeight="12.75" x14ac:dyDescent="0.2"/>
  <cols>
    <col min="1" max="1" width="5" style="119" customWidth="1"/>
    <col min="2" max="2" width="22.85546875" style="119" customWidth="1"/>
    <col min="3" max="3" width="14.140625" style="119" customWidth="1"/>
    <col min="4" max="4" width="12.28515625" style="119" customWidth="1"/>
    <col min="5" max="5" width="14" style="119" customWidth="1"/>
    <col min="6" max="6" width="13.5703125" style="119" customWidth="1"/>
    <col min="7" max="7" width="12" style="119" customWidth="1"/>
    <col min="8" max="8" width="13.5703125" style="380" customWidth="1"/>
    <col min="9" max="9" width="12" style="256" customWidth="1"/>
    <col min="10" max="10" width="12.140625" style="119" customWidth="1"/>
    <col min="11" max="11" width="12.42578125" style="119" customWidth="1"/>
    <col min="12" max="12" width="6.42578125" style="119" customWidth="1"/>
    <col min="13" max="13" width="12" style="119" customWidth="1"/>
    <col min="14" max="14" width="12.7109375" style="119" customWidth="1"/>
    <col min="15" max="15" width="6.5703125" style="119" customWidth="1"/>
    <col min="16" max="16" width="12" style="119" customWidth="1"/>
    <col min="17" max="17" width="6" style="119" customWidth="1"/>
    <col min="18" max="18" width="7" style="119" customWidth="1"/>
    <col min="19" max="19" width="6" style="119" customWidth="1"/>
    <col min="20" max="20" width="12" style="119" customWidth="1"/>
    <col min="21" max="21" width="12.28515625" style="119" customWidth="1"/>
    <col min="22" max="22" width="6" style="119" customWidth="1"/>
    <col min="23" max="23" width="11.7109375" style="119" customWidth="1"/>
    <col min="24" max="24" width="9" style="119" customWidth="1"/>
    <col min="25" max="25" width="9.5703125" style="119" customWidth="1"/>
    <col min="26" max="26" width="7.140625" style="119" customWidth="1"/>
    <col min="27" max="27" width="12.7109375" style="119" customWidth="1"/>
    <col min="28" max="28" width="12.28515625" style="119" customWidth="1"/>
    <col min="29" max="29" width="6.85546875" style="119" customWidth="1"/>
    <col min="30" max="30" width="9.28515625" style="119" customWidth="1"/>
    <col min="31" max="31" width="8.140625" style="119" customWidth="1"/>
    <col min="32" max="32" width="10.28515625" style="119" customWidth="1"/>
    <col min="33" max="33" width="17" style="256" hidden="1" customWidth="1"/>
    <col min="34" max="34" width="18.85546875" style="119" hidden="1" customWidth="1"/>
    <col min="35" max="44" width="0" style="119" hidden="1" customWidth="1"/>
    <col min="45" max="45" width="0.7109375" style="119" customWidth="1"/>
    <col min="46" max="16384" width="8.85546875" style="119"/>
  </cols>
  <sheetData>
    <row r="1" spans="1:33" ht="23.25" customHeight="1" x14ac:dyDescent="0.2">
      <c r="A1" s="3130" t="str">
        <f>'48_NĐ31'!A1</f>
        <v xml:space="preserve">UBND PHƯỜNG BẮC KẠN </v>
      </c>
      <c r="B1" s="3130"/>
      <c r="C1" s="3130"/>
      <c r="G1" s="244"/>
      <c r="H1" s="244"/>
      <c r="I1" s="244"/>
      <c r="AD1" s="3141" t="s">
        <v>971</v>
      </c>
      <c r="AE1" s="3141"/>
      <c r="AF1" s="3141"/>
    </row>
    <row r="2" spans="1:33" ht="23.25" hidden="1" customHeight="1" x14ac:dyDescent="0.2">
      <c r="A2" s="3171" t="s">
        <v>1523</v>
      </c>
      <c r="B2" s="3171"/>
      <c r="C2" s="3171"/>
      <c r="D2" s="3171"/>
      <c r="E2" s="3171"/>
      <c r="F2" s="3171"/>
      <c r="G2" s="3171"/>
      <c r="H2" s="3171"/>
      <c r="I2" s="3171"/>
      <c r="J2" s="3171"/>
      <c r="K2" s="3171"/>
      <c r="L2" s="3171"/>
      <c r="M2" s="3171"/>
      <c r="N2" s="3171"/>
      <c r="O2" s="3171"/>
      <c r="P2" s="3171"/>
      <c r="Q2" s="3171"/>
      <c r="R2" s="3171"/>
      <c r="S2" s="3171"/>
      <c r="T2" s="3171"/>
      <c r="U2" s="3171"/>
      <c r="V2" s="3171"/>
      <c r="W2" s="3171"/>
      <c r="X2" s="3171"/>
      <c r="Y2" s="3171"/>
      <c r="Z2" s="3171"/>
      <c r="AA2" s="3171"/>
      <c r="AB2" s="3171"/>
      <c r="AC2" s="3171"/>
      <c r="AD2" s="3171"/>
      <c r="AE2" s="3171"/>
      <c r="AF2" s="3171"/>
    </row>
    <row r="3" spans="1:33" ht="21.75" customHeight="1" x14ac:dyDescent="0.2">
      <c r="A3" s="3207" t="s">
        <v>1467</v>
      </c>
      <c r="B3" s="3207"/>
      <c r="C3" s="3207"/>
      <c r="D3" s="3207"/>
      <c r="E3" s="3207"/>
      <c r="F3" s="3207"/>
      <c r="G3" s="3207"/>
      <c r="H3" s="3207"/>
      <c r="I3" s="3207"/>
      <c r="J3" s="3207"/>
      <c r="K3" s="3207"/>
      <c r="L3" s="3207"/>
      <c r="M3" s="3207"/>
      <c r="N3" s="3207"/>
      <c r="O3" s="3207"/>
      <c r="P3" s="3207"/>
      <c r="Q3" s="3207"/>
      <c r="R3" s="3207"/>
      <c r="S3" s="3207"/>
      <c r="T3" s="3207"/>
      <c r="U3" s="3207"/>
      <c r="V3" s="3207"/>
      <c r="W3" s="3207"/>
      <c r="X3" s="3207"/>
      <c r="Y3" s="3207"/>
      <c r="Z3" s="3207"/>
      <c r="AA3" s="3207"/>
      <c r="AB3" s="3207"/>
      <c r="AC3" s="3207"/>
      <c r="AD3" s="3207"/>
      <c r="AE3" s="3207"/>
      <c r="AF3" s="3207"/>
    </row>
    <row r="4" spans="1:33" ht="21.75" customHeight="1" x14ac:dyDescent="0.2">
      <c r="A4" s="3133" t="str">
        <f>'48_NĐ31'!A4:G4</f>
        <v>(Kèm theo Quyết định số          /QĐ-UBND ngày          /4/2026 của UBND phường Bắc Kạn)</v>
      </c>
      <c r="B4" s="3133"/>
      <c r="C4" s="3133"/>
      <c r="D4" s="3133"/>
      <c r="E4" s="3133"/>
      <c r="F4" s="3133"/>
      <c r="G4" s="3133"/>
      <c r="H4" s="3133"/>
      <c r="I4" s="3133"/>
      <c r="J4" s="3133"/>
      <c r="K4" s="3133"/>
      <c r="L4" s="3133"/>
      <c r="M4" s="3133"/>
      <c r="N4" s="3133"/>
      <c r="O4" s="3133"/>
      <c r="P4" s="3133"/>
      <c r="Q4" s="3133"/>
      <c r="R4" s="3133"/>
      <c r="S4" s="3133"/>
      <c r="T4" s="3133"/>
      <c r="U4" s="3133"/>
      <c r="V4" s="3133"/>
      <c r="W4" s="3133"/>
      <c r="X4" s="3133"/>
      <c r="Y4" s="3133"/>
      <c r="Z4" s="3133"/>
      <c r="AA4" s="3133"/>
      <c r="AB4" s="3133"/>
      <c r="AC4" s="3133"/>
      <c r="AD4" s="3133"/>
      <c r="AE4" s="3133"/>
      <c r="AF4" s="3133"/>
    </row>
    <row r="5" spans="1:33" s="263" customFormat="1" ht="21" customHeight="1" x14ac:dyDescent="0.2">
      <c r="D5" s="381"/>
      <c r="E5" s="849"/>
      <c r="F5" s="381"/>
      <c r="G5" s="426"/>
      <c r="H5" s="427"/>
      <c r="I5" s="590"/>
      <c r="N5" s="217"/>
      <c r="U5" s="3154" t="s">
        <v>1187</v>
      </c>
      <c r="V5" s="3154"/>
      <c r="W5" s="3154"/>
      <c r="X5" s="3154"/>
      <c r="Y5" s="3154"/>
      <c r="Z5" s="3154"/>
      <c r="AA5" s="3154"/>
      <c r="AB5" s="3154"/>
      <c r="AC5" s="3154"/>
      <c r="AD5" s="3154"/>
      <c r="AE5" s="3154"/>
      <c r="AF5" s="3154"/>
      <c r="AG5" s="382"/>
    </row>
    <row r="6" spans="1:33" ht="21.75" customHeight="1" x14ac:dyDescent="0.2">
      <c r="A6" s="3149" t="s">
        <v>0</v>
      </c>
      <c r="B6" s="3149" t="s">
        <v>588</v>
      </c>
      <c r="C6" s="3149" t="s">
        <v>2</v>
      </c>
      <c r="D6" s="3149"/>
      <c r="E6" s="3149"/>
      <c r="F6" s="3209" t="s">
        <v>400</v>
      </c>
      <c r="G6" s="3156"/>
      <c r="H6" s="3156"/>
      <c r="I6" s="3156"/>
      <c r="J6" s="3156"/>
      <c r="K6" s="3156"/>
      <c r="L6" s="3156"/>
      <c r="M6" s="3156"/>
      <c r="N6" s="3156"/>
      <c r="O6" s="3156"/>
      <c r="P6" s="3156"/>
      <c r="Q6" s="3156"/>
      <c r="R6" s="3156"/>
      <c r="S6" s="3156"/>
      <c r="T6" s="3156"/>
      <c r="U6" s="3156"/>
      <c r="V6" s="3156"/>
      <c r="W6" s="3156"/>
      <c r="X6" s="3156"/>
      <c r="Y6" s="3156"/>
      <c r="Z6" s="3156"/>
      <c r="AA6" s="3156"/>
      <c r="AB6" s="3156"/>
      <c r="AC6" s="3210"/>
      <c r="AD6" s="3149" t="s">
        <v>414</v>
      </c>
      <c r="AE6" s="3149"/>
      <c r="AF6" s="3149"/>
    </row>
    <row r="7" spans="1:33" ht="21.75" customHeight="1" x14ac:dyDescent="0.2">
      <c r="A7" s="3149"/>
      <c r="B7" s="3149"/>
      <c r="C7" s="3149" t="s">
        <v>13</v>
      </c>
      <c r="D7" s="3149" t="s">
        <v>47</v>
      </c>
      <c r="E7" s="3149"/>
      <c r="F7" s="3149" t="s">
        <v>13</v>
      </c>
      <c r="G7" s="3149" t="s">
        <v>47</v>
      </c>
      <c r="H7" s="3149"/>
      <c r="I7" s="3149" t="s">
        <v>531</v>
      </c>
      <c r="J7" s="3149"/>
      <c r="K7" s="3149"/>
      <c r="L7" s="3149"/>
      <c r="M7" s="3149"/>
      <c r="N7" s="3149"/>
      <c r="O7" s="3149"/>
      <c r="P7" s="3149" t="s">
        <v>532</v>
      </c>
      <c r="Q7" s="3149"/>
      <c r="R7" s="3149"/>
      <c r="S7" s="3149"/>
      <c r="T7" s="3149"/>
      <c r="U7" s="3149"/>
      <c r="V7" s="3149"/>
      <c r="W7" s="3149" t="s">
        <v>654</v>
      </c>
      <c r="X7" s="3149"/>
      <c r="Y7" s="3149"/>
      <c r="Z7" s="3149"/>
      <c r="AA7" s="3149"/>
      <c r="AB7" s="3149"/>
      <c r="AC7" s="3149"/>
      <c r="AD7" s="3149" t="s">
        <v>13</v>
      </c>
      <c r="AE7" s="3149" t="s">
        <v>47</v>
      </c>
      <c r="AF7" s="3149"/>
    </row>
    <row r="8" spans="1:33" ht="21.75" customHeight="1" x14ac:dyDescent="0.2">
      <c r="A8" s="3149"/>
      <c r="B8" s="3149"/>
      <c r="C8" s="3149"/>
      <c r="D8" s="3149" t="s">
        <v>475</v>
      </c>
      <c r="E8" s="3149" t="s">
        <v>476</v>
      </c>
      <c r="F8" s="3149"/>
      <c r="G8" s="3149" t="s">
        <v>475</v>
      </c>
      <c r="H8" s="3211" t="s">
        <v>476</v>
      </c>
      <c r="I8" s="3208" t="s">
        <v>13</v>
      </c>
      <c r="J8" s="3149" t="s">
        <v>27</v>
      </c>
      <c r="K8" s="3149"/>
      <c r="L8" s="3149"/>
      <c r="M8" s="3149" t="s">
        <v>476</v>
      </c>
      <c r="N8" s="3149"/>
      <c r="O8" s="3149"/>
      <c r="P8" s="3149" t="s">
        <v>13</v>
      </c>
      <c r="Q8" s="3149" t="s">
        <v>27</v>
      </c>
      <c r="R8" s="3149"/>
      <c r="S8" s="3149"/>
      <c r="T8" s="3149" t="s">
        <v>476</v>
      </c>
      <c r="U8" s="3149"/>
      <c r="V8" s="3149"/>
      <c r="W8" s="3149" t="s">
        <v>13</v>
      </c>
      <c r="X8" s="3149" t="s">
        <v>27</v>
      </c>
      <c r="Y8" s="3149"/>
      <c r="Z8" s="3149"/>
      <c r="AA8" s="3149" t="s">
        <v>476</v>
      </c>
      <c r="AB8" s="3149"/>
      <c r="AC8" s="3149"/>
      <c r="AD8" s="3149"/>
      <c r="AE8" s="3149" t="s">
        <v>27</v>
      </c>
      <c r="AF8" s="3149" t="s">
        <v>28</v>
      </c>
      <c r="AG8" s="256">
        <f>'[3]SN NTM'!$M$182</f>
        <v>1464267046</v>
      </c>
    </row>
    <row r="9" spans="1:33" ht="20.25" customHeight="1" x14ac:dyDescent="0.2">
      <c r="A9" s="3149"/>
      <c r="B9" s="3149"/>
      <c r="C9" s="3149"/>
      <c r="D9" s="3149"/>
      <c r="E9" s="3149"/>
      <c r="F9" s="3149"/>
      <c r="G9" s="3149"/>
      <c r="H9" s="3211"/>
      <c r="I9" s="3208"/>
      <c r="J9" s="3149" t="s">
        <v>13</v>
      </c>
      <c r="K9" s="3149" t="s">
        <v>477</v>
      </c>
      <c r="L9" s="3149"/>
      <c r="M9" s="3149" t="s">
        <v>13</v>
      </c>
      <c r="N9" s="3149" t="s">
        <v>477</v>
      </c>
      <c r="O9" s="3149"/>
      <c r="P9" s="3149"/>
      <c r="Q9" s="3149" t="s">
        <v>13</v>
      </c>
      <c r="R9" s="3149" t="s">
        <v>477</v>
      </c>
      <c r="S9" s="3149"/>
      <c r="T9" s="3149" t="s">
        <v>13</v>
      </c>
      <c r="U9" s="3149" t="s">
        <v>477</v>
      </c>
      <c r="V9" s="3149"/>
      <c r="W9" s="3149"/>
      <c r="X9" s="3149" t="s">
        <v>13</v>
      </c>
      <c r="Y9" s="3149" t="s">
        <v>477</v>
      </c>
      <c r="Z9" s="3149"/>
      <c r="AA9" s="3149" t="s">
        <v>13</v>
      </c>
      <c r="AB9" s="3149" t="s">
        <v>477</v>
      </c>
      <c r="AC9" s="3149"/>
      <c r="AD9" s="3149"/>
      <c r="AE9" s="3149"/>
      <c r="AF9" s="3149"/>
    </row>
    <row r="10" spans="1:33" ht="55.5" customHeight="1" x14ac:dyDescent="0.2">
      <c r="A10" s="3149"/>
      <c r="B10" s="3149"/>
      <c r="C10" s="3149"/>
      <c r="D10" s="3149"/>
      <c r="E10" s="3149"/>
      <c r="F10" s="3149"/>
      <c r="G10" s="3149"/>
      <c r="H10" s="3211"/>
      <c r="I10" s="3208"/>
      <c r="J10" s="3149"/>
      <c r="K10" s="130" t="s">
        <v>57</v>
      </c>
      <c r="L10" s="130" t="s">
        <v>461</v>
      </c>
      <c r="M10" s="3149"/>
      <c r="N10" s="130" t="s">
        <v>57</v>
      </c>
      <c r="O10" s="130" t="s">
        <v>461</v>
      </c>
      <c r="P10" s="3149"/>
      <c r="Q10" s="3149"/>
      <c r="R10" s="130" t="s">
        <v>57</v>
      </c>
      <c r="S10" s="130" t="s">
        <v>461</v>
      </c>
      <c r="T10" s="3149"/>
      <c r="U10" s="130" t="s">
        <v>57</v>
      </c>
      <c r="V10" s="130" t="s">
        <v>461</v>
      </c>
      <c r="W10" s="3149"/>
      <c r="X10" s="3149"/>
      <c r="Y10" s="130" t="s">
        <v>57</v>
      </c>
      <c r="Z10" s="130" t="s">
        <v>461</v>
      </c>
      <c r="AA10" s="3149"/>
      <c r="AB10" s="130" t="s">
        <v>57</v>
      </c>
      <c r="AC10" s="130" t="s">
        <v>461</v>
      </c>
      <c r="AD10" s="3149"/>
      <c r="AE10" s="3149"/>
      <c r="AF10" s="3149"/>
    </row>
    <row r="11" spans="1:33" ht="25.15" customHeight="1" x14ac:dyDescent="0.2">
      <c r="A11" s="210" t="s">
        <v>3</v>
      </c>
      <c r="B11" s="210" t="s">
        <v>4</v>
      </c>
      <c r="C11" s="210">
        <v>1</v>
      </c>
      <c r="D11" s="210">
        <v>2</v>
      </c>
      <c r="E11" s="210">
        <v>3</v>
      </c>
      <c r="F11" s="210">
        <v>5</v>
      </c>
      <c r="G11" s="210">
        <v>6</v>
      </c>
      <c r="H11" s="318">
        <v>7</v>
      </c>
      <c r="I11" s="261">
        <v>8</v>
      </c>
      <c r="J11" s="210">
        <v>9</v>
      </c>
      <c r="K11" s="210">
        <v>10</v>
      </c>
      <c r="L11" s="210">
        <v>11</v>
      </c>
      <c r="M11" s="210">
        <v>12</v>
      </c>
      <c r="N11" s="210">
        <v>13</v>
      </c>
      <c r="O11" s="210">
        <v>14</v>
      </c>
      <c r="P11" s="210">
        <v>15</v>
      </c>
      <c r="Q11" s="210">
        <v>16</v>
      </c>
      <c r="R11" s="210">
        <v>17</v>
      </c>
      <c r="S11" s="210">
        <v>18</v>
      </c>
      <c r="T11" s="210">
        <v>19</v>
      </c>
      <c r="U11" s="210">
        <v>20</v>
      </c>
      <c r="V11" s="210">
        <v>21</v>
      </c>
      <c r="W11" s="210">
        <v>22</v>
      </c>
      <c r="X11" s="210">
        <v>23</v>
      </c>
      <c r="Y11" s="210">
        <v>24</v>
      </c>
      <c r="Z11" s="210">
        <v>25</v>
      </c>
      <c r="AA11" s="210">
        <v>26</v>
      </c>
      <c r="AB11" s="210">
        <v>27</v>
      </c>
      <c r="AC11" s="210">
        <v>28</v>
      </c>
      <c r="AD11" s="210" t="s">
        <v>655</v>
      </c>
      <c r="AE11" s="210" t="s">
        <v>656</v>
      </c>
      <c r="AF11" s="210" t="s">
        <v>657</v>
      </c>
      <c r="AG11" s="421" t="e">
        <f>#REF!-#REF!</f>
        <v>#REF!</v>
      </c>
    </row>
    <row r="12" spans="1:33" s="2201" customFormat="1" ht="32.25" customHeight="1" x14ac:dyDescent="0.2">
      <c r="A12" s="2365" t="s">
        <v>5</v>
      </c>
      <c r="B12" s="2366" t="s">
        <v>511</v>
      </c>
      <c r="C12" s="2367">
        <f>SUM(C13:C16)</f>
        <v>4983884.4159999993</v>
      </c>
      <c r="D12" s="2367">
        <f t="shared" ref="D12:E12" si="0">SUM(D13:D16)</f>
        <v>343685.27100000001</v>
      </c>
      <c r="E12" s="2367">
        <f t="shared" si="0"/>
        <v>4640199.1449999996</v>
      </c>
      <c r="F12" s="2367">
        <f t="shared" ref="F12:AE12" si="1">SUM(F13:F15)</f>
        <v>1461068.6940000001</v>
      </c>
      <c r="G12" s="2367">
        <f t="shared" si="1"/>
        <v>286784.97399999999</v>
      </c>
      <c r="H12" s="2367">
        <f t="shared" si="1"/>
        <v>1174283.7200000002</v>
      </c>
      <c r="I12" s="2367">
        <f t="shared" si="1"/>
        <v>471954.37399999995</v>
      </c>
      <c r="J12" s="2367">
        <f t="shared" si="1"/>
        <v>286784.97399999999</v>
      </c>
      <c r="K12" s="2367">
        <f t="shared" si="1"/>
        <v>286784.97399999999</v>
      </c>
      <c r="L12" s="2368">
        <f t="shared" si="1"/>
        <v>0</v>
      </c>
      <c r="M12" s="2367">
        <f t="shared" si="1"/>
        <v>185169.4</v>
      </c>
      <c r="N12" s="2367">
        <f t="shared" si="1"/>
        <v>185169.4</v>
      </c>
      <c r="O12" s="2368">
        <f t="shared" si="1"/>
        <v>0</v>
      </c>
      <c r="P12" s="2367">
        <f t="shared" si="1"/>
        <v>561643.30000000005</v>
      </c>
      <c r="Q12" s="2368">
        <f t="shared" si="1"/>
        <v>0</v>
      </c>
      <c r="R12" s="2368">
        <f t="shared" si="1"/>
        <v>0</v>
      </c>
      <c r="S12" s="2368">
        <f t="shared" si="1"/>
        <v>0</v>
      </c>
      <c r="T12" s="2367">
        <f t="shared" si="1"/>
        <v>723504.32000000007</v>
      </c>
      <c r="U12" s="2367">
        <f t="shared" si="1"/>
        <v>723504.32000000007</v>
      </c>
      <c r="V12" s="2368">
        <f t="shared" si="1"/>
        <v>0</v>
      </c>
      <c r="W12" s="2367">
        <f t="shared" si="1"/>
        <v>265610</v>
      </c>
      <c r="X12" s="2368">
        <f t="shared" si="1"/>
        <v>0</v>
      </c>
      <c r="Y12" s="2368">
        <f t="shared" si="1"/>
        <v>0</v>
      </c>
      <c r="Z12" s="2368">
        <f t="shared" si="1"/>
        <v>0</v>
      </c>
      <c r="AA12" s="2367">
        <f t="shared" si="1"/>
        <v>265610</v>
      </c>
      <c r="AB12" s="2367">
        <f t="shared" si="1"/>
        <v>265610</v>
      </c>
      <c r="AC12" s="2368">
        <f t="shared" si="1"/>
        <v>0</v>
      </c>
      <c r="AD12" s="2367">
        <f>F12/C12*100</f>
        <v>29.315862328377086</v>
      </c>
      <c r="AE12" s="2367">
        <f t="shared" si="1"/>
        <v>83.444068803286015</v>
      </c>
      <c r="AF12" s="2367">
        <f>H12/E12*100</f>
        <v>25.306752648005158</v>
      </c>
      <c r="AG12" s="2369"/>
    </row>
    <row r="13" spans="1:33" s="1584" customFormat="1" ht="42" customHeight="1" x14ac:dyDescent="0.25">
      <c r="A13" s="2370">
        <v>1</v>
      </c>
      <c r="B13" s="2371" t="s">
        <v>953</v>
      </c>
      <c r="C13" s="2372">
        <f>D13+E13</f>
        <v>170649.4</v>
      </c>
      <c r="D13" s="2372"/>
      <c r="E13" s="2372">
        <f>51000+35280+13850+15630+54889.4</f>
        <v>170649.4</v>
      </c>
      <c r="F13" s="2372">
        <f>SUM(G13:H13)</f>
        <v>170649.4</v>
      </c>
      <c r="G13" s="2372">
        <f>SUM(J13,Q13)</f>
        <v>0</v>
      </c>
      <c r="H13" s="2373">
        <f>SUM(M13,T13,AA13)</f>
        <v>170649.4</v>
      </c>
      <c r="I13" s="2374">
        <f>SUM(J13,M13)</f>
        <v>84369.4</v>
      </c>
      <c r="J13" s="2375">
        <f>K13</f>
        <v>0</v>
      </c>
      <c r="K13" s="2372"/>
      <c r="L13" s="2376"/>
      <c r="M13" s="2376">
        <f>N13</f>
        <v>84369.4</v>
      </c>
      <c r="N13" s="2376">
        <f>70519.4+13850</f>
        <v>84369.4</v>
      </c>
      <c r="O13" s="2372"/>
      <c r="P13" s="2372">
        <f>Q13+T13</f>
        <v>35280</v>
      </c>
      <c r="Q13" s="2372">
        <f>R13+S13</f>
        <v>0</v>
      </c>
      <c r="R13" s="2372"/>
      <c r="S13" s="2372"/>
      <c r="T13" s="2372">
        <f>U13</f>
        <v>35280</v>
      </c>
      <c r="U13" s="2376">
        <v>35280</v>
      </c>
      <c r="V13" s="2372"/>
      <c r="W13" s="2372">
        <f>SUM(X13,AA13)</f>
        <v>51000</v>
      </c>
      <c r="X13" s="2377">
        <f>Y13+Z13</f>
        <v>0</v>
      </c>
      <c r="Y13" s="2372"/>
      <c r="Z13" s="2372"/>
      <c r="AA13" s="2372">
        <f>AB13+AC13</f>
        <v>51000</v>
      </c>
      <c r="AB13" s="2372">
        <v>51000</v>
      </c>
      <c r="AC13" s="2372"/>
      <c r="AD13" s="2399">
        <f>F13/C13*100</f>
        <v>100</v>
      </c>
      <c r="AE13" s="2399"/>
      <c r="AF13" s="2399">
        <f>H13/E13*100</f>
        <v>100</v>
      </c>
      <c r="AG13" s="1585"/>
    </row>
    <row r="14" spans="1:33" s="1584" customFormat="1" ht="42" customHeight="1" x14ac:dyDescent="0.25">
      <c r="A14" s="2370">
        <v>2</v>
      </c>
      <c r="B14" s="2371" t="s">
        <v>941</v>
      </c>
      <c r="C14" s="2372">
        <f>D14+E14</f>
        <v>388328.2</v>
      </c>
      <c r="D14" s="2372"/>
      <c r="E14" s="2372">
        <f>190000+10000+10110+500+14000+3050.2+160668</f>
        <v>388328.2</v>
      </c>
      <c r="F14" s="2372">
        <f>SUM(G14:H14)</f>
        <v>376471.02</v>
      </c>
      <c r="G14" s="2372">
        <f>SUM(J14,Q14)</f>
        <v>0</v>
      </c>
      <c r="H14" s="2373">
        <f>SUM(M14,T14,AA14)</f>
        <v>376471.02</v>
      </c>
      <c r="I14" s="2378">
        <f>SUM(J14,M14)</f>
        <v>0</v>
      </c>
      <c r="J14" s="2372">
        <f>K14</f>
        <v>0</v>
      </c>
      <c r="K14" s="2372"/>
      <c r="L14" s="2372"/>
      <c r="M14" s="2372">
        <f>N14</f>
        <v>0</v>
      </c>
      <c r="N14" s="2372"/>
      <c r="O14" s="2372"/>
      <c r="P14" s="2372">
        <f>Q14</f>
        <v>0</v>
      </c>
      <c r="Q14" s="2372"/>
      <c r="R14" s="2372"/>
      <c r="S14" s="2372"/>
      <c r="T14" s="2372">
        <f>U14</f>
        <v>161861.01999999999</v>
      </c>
      <c r="U14" s="2372">
        <f>141427.76+14000+4381.74+2051.52</f>
        <v>161861.01999999999</v>
      </c>
      <c r="V14" s="2372"/>
      <c r="W14" s="2372">
        <f t="shared" ref="W14" si="2">SUM(X14,AA14)</f>
        <v>214610</v>
      </c>
      <c r="X14" s="2377">
        <f>Y14+Z14</f>
        <v>0</v>
      </c>
      <c r="Y14" s="2372"/>
      <c r="Z14" s="2372"/>
      <c r="AA14" s="2372">
        <f>AB14+AC14</f>
        <v>214610</v>
      </c>
      <c r="AB14" s="2372">
        <f>190000+10000+14610</f>
        <v>214610</v>
      </c>
      <c r="AC14" s="2372"/>
      <c r="AD14" s="2399">
        <f>F14/C14*100</f>
        <v>96.946608564611068</v>
      </c>
      <c r="AE14" s="2399"/>
      <c r="AF14" s="2399">
        <f>H14/E14*100</f>
        <v>96.946608564611068</v>
      </c>
      <c r="AG14" s="1585"/>
    </row>
    <row r="15" spans="1:33" s="1584" customFormat="1" ht="42" customHeight="1" x14ac:dyDescent="0.25">
      <c r="A15" s="2379">
        <v>3</v>
      </c>
      <c r="B15" s="2380" t="s">
        <v>954</v>
      </c>
      <c r="C15" s="2381">
        <f>D15+E15</f>
        <v>1361902.4709999999</v>
      </c>
      <c r="D15" s="2381">
        <f>59400+268285.271+16000</f>
        <v>343685.27100000001</v>
      </c>
      <c r="E15" s="2381">
        <f>300000+123887.2+35000+294490+51600+182000+96000-15630-35280-13850</f>
        <v>1018217.2</v>
      </c>
      <c r="F15" s="2381">
        <f>SUM(G15:H15)</f>
        <v>913948.27399999998</v>
      </c>
      <c r="G15" s="2381">
        <f>SUM(J15,Q15,X15)</f>
        <v>286784.97399999999</v>
      </c>
      <c r="H15" s="2382">
        <f>SUM(M15,T15,AA15)</f>
        <v>627163.30000000005</v>
      </c>
      <c r="I15" s="2383">
        <f>SUM(J15,M15)</f>
        <v>387584.97399999999</v>
      </c>
      <c r="J15" s="2381">
        <f>K15</f>
        <v>286784.97399999999</v>
      </c>
      <c r="K15" s="2384">
        <f>40550.831+242166.983+4067.16</f>
        <v>286784.97399999999</v>
      </c>
      <c r="L15" s="2381"/>
      <c r="M15" s="2381">
        <f>N15</f>
        <v>100800</v>
      </c>
      <c r="N15" s="2381">
        <f>100800</f>
        <v>100800</v>
      </c>
      <c r="O15" s="2381"/>
      <c r="P15" s="2381">
        <f>Q15+T15</f>
        <v>526363.30000000005</v>
      </c>
      <c r="Q15" s="2381"/>
      <c r="R15" s="2381"/>
      <c r="S15" s="2381"/>
      <c r="T15" s="2381">
        <f>U15+V15</f>
        <v>526363.30000000005</v>
      </c>
      <c r="U15" s="2381">
        <f>266700+50000+1600+5000+203063.3</f>
        <v>526363.30000000005</v>
      </c>
      <c r="V15" s="2381"/>
      <c r="W15" s="2381">
        <f>SUM(X15,AA15)</f>
        <v>0</v>
      </c>
      <c r="X15" s="2381">
        <f>Y15+Z15</f>
        <v>0</v>
      </c>
      <c r="Y15" s="2381"/>
      <c r="Z15" s="2381"/>
      <c r="AA15" s="2381">
        <f>AB15+AC15</f>
        <v>0</v>
      </c>
      <c r="AB15" s="2381"/>
      <c r="AC15" s="2381"/>
      <c r="AD15" s="2400">
        <f>F15/C15*100</f>
        <v>67.10820293386486</v>
      </c>
      <c r="AE15" s="2400">
        <f>J15/D15%</f>
        <v>83.444068803286015</v>
      </c>
      <c r="AF15" s="2400">
        <f>H15/E15*100</f>
        <v>61.594255135348341</v>
      </c>
      <c r="AG15" s="1585">
        <v>20979306</v>
      </c>
    </row>
    <row r="16" spans="1:33" s="2388" customFormat="1" ht="39.75" customHeight="1" x14ac:dyDescent="0.25">
      <c r="A16" s="2385">
        <v>4</v>
      </c>
      <c r="B16" s="2386" t="s">
        <v>1969</v>
      </c>
      <c r="C16" s="2451">
        <v>3063004.3449999993</v>
      </c>
      <c r="D16" s="2451"/>
      <c r="E16" s="2451">
        <f>C16</f>
        <v>3063004.3449999993</v>
      </c>
      <c r="F16" s="2389"/>
      <c r="G16" s="2389"/>
      <c r="H16" s="2390"/>
      <c r="I16" s="2391"/>
      <c r="J16" s="2389"/>
      <c r="K16" s="2389"/>
      <c r="L16" s="2389"/>
      <c r="M16" s="2389"/>
      <c r="N16" s="2389"/>
      <c r="O16" s="2389"/>
      <c r="P16" s="2389"/>
      <c r="Q16" s="2389"/>
      <c r="R16" s="2389"/>
      <c r="S16" s="2389"/>
      <c r="T16" s="2389"/>
      <c r="U16" s="2389"/>
      <c r="V16" s="2389"/>
      <c r="W16" s="2389"/>
      <c r="X16" s="2389"/>
      <c r="Y16" s="2389"/>
      <c r="Z16" s="2389"/>
      <c r="AA16" s="2389"/>
      <c r="AB16" s="2389"/>
      <c r="AC16" s="2389"/>
      <c r="AD16" s="2389"/>
      <c r="AE16" s="2389"/>
      <c r="AF16" s="2389"/>
      <c r="AG16" s="2387"/>
    </row>
    <row r="17" spans="3:32" x14ac:dyDescent="0.2">
      <c r="C17" s="2392"/>
      <c r="D17" s="2392"/>
      <c r="E17" s="2392"/>
      <c r="F17" s="2393"/>
      <c r="G17" s="2392"/>
      <c r="H17" s="2394"/>
      <c r="I17" s="2395"/>
      <c r="J17" s="2396"/>
      <c r="K17" s="2397"/>
      <c r="L17" s="2392"/>
      <c r="M17" s="2398"/>
      <c r="N17" s="2398"/>
      <c r="O17" s="2398"/>
      <c r="P17" s="2398"/>
      <c r="Q17" s="2398"/>
      <c r="R17" s="2398"/>
      <c r="S17" s="2398"/>
      <c r="T17" s="2395"/>
      <c r="U17" s="2398"/>
      <c r="V17" s="2398"/>
      <c r="W17" s="2398"/>
      <c r="X17" s="2398"/>
      <c r="Y17" s="2398"/>
      <c r="Z17" s="2398"/>
      <c r="AA17" s="2398"/>
      <c r="AB17" s="2392"/>
      <c r="AC17" s="2392"/>
      <c r="AD17" s="2392"/>
      <c r="AE17" s="2392"/>
      <c r="AF17" s="2392"/>
    </row>
    <row r="18" spans="3:32" hidden="1" x14ac:dyDescent="0.2">
      <c r="E18" s="119">
        <v>1659054.8</v>
      </c>
      <c r="G18" s="384"/>
      <c r="H18" s="384"/>
      <c r="K18" s="122">
        <f>242166.983+4067.16</f>
        <v>246234.14300000001</v>
      </c>
      <c r="L18" s="383"/>
      <c r="M18" s="320"/>
      <c r="N18" s="320"/>
      <c r="O18" s="320"/>
      <c r="P18" s="320"/>
      <c r="Q18" s="320"/>
      <c r="R18" s="320"/>
      <c r="S18" s="320"/>
      <c r="U18" s="320"/>
      <c r="V18" s="320"/>
      <c r="W18" s="320"/>
      <c r="X18" s="320"/>
      <c r="Y18" s="320"/>
      <c r="Z18" s="320"/>
      <c r="AA18" s="320"/>
    </row>
    <row r="19" spans="3:32" hidden="1" x14ac:dyDescent="0.2">
      <c r="E19" s="222">
        <f>E18-E12</f>
        <v>-2981144.3449999997</v>
      </c>
      <c r="F19" s="321"/>
      <c r="G19" s="341"/>
      <c r="H19" s="384"/>
      <c r="M19" s="320"/>
      <c r="N19" s="320"/>
      <c r="O19" s="320"/>
      <c r="P19" s="320"/>
      <c r="Q19" s="320"/>
      <c r="R19" s="320"/>
      <c r="S19" s="320"/>
      <c r="T19" s="256"/>
      <c r="U19" s="320"/>
      <c r="V19" s="320"/>
      <c r="W19" s="320"/>
      <c r="X19" s="320"/>
      <c r="Y19" s="320"/>
      <c r="Z19" s="320"/>
      <c r="AA19" s="320"/>
    </row>
    <row r="20" spans="3:32" hidden="1" x14ac:dyDescent="0.2">
      <c r="G20" s="341"/>
      <c r="H20" s="384"/>
      <c r="I20" s="1383">
        <f>J20+K20</f>
        <v>246.23414300000005</v>
      </c>
      <c r="J20" s="119">
        <v>242.16698300000004</v>
      </c>
      <c r="K20" s="457">
        <v>4.0671600000000003</v>
      </c>
      <c r="M20" s="320"/>
      <c r="N20" s="320"/>
      <c r="O20" s="320"/>
      <c r="P20" s="320"/>
      <c r="Q20" s="320"/>
      <c r="R20" s="320"/>
      <c r="S20" s="320"/>
      <c r="T20" s="256"/>
      <c r="U20" s="320"/>
      <c r="V20" s="320"/>
      <c r="W20" s="320"/>
      <c r="X20" s="320"/>
      <c r="Y20" s="320"/>
      <c r="Z20" s="320"/>
      <c r="AA20" s="320"/>
    </row>
    <row r="21" spans="3:32" hidden="1" x14ac:dyDescent="0.2">
      <c r="G21" s="451"/>
      <c r="H21" s="386"/>
      <c r="M21" s="320"/>
      <c r="N21" s="320"/>
      <c r="O21" s="320"/>
      <c r="P21" s="320"/>
      <c r="Q21" s="320"/>
      <c r="R21" s="320"/>
      <c r="S21" s="320"/>
      <c r="T21" s="256"/>
      <c r="U21" s="320"/>
      <c r="V21" s="320"/>
      <c r="W21" s="320"/>
      <c r="X21" s="320"/>
      <c r="Y21" s="320"/>
      <c r="Z21" s="320"/>
      <c r="AA21" s="320"/>
    </row>
    <row r="22" spans="3:32" hidden="1" x14ac:dyDescent="0.2">
      <c r="F22" s="119">
        <v>1461068.6939999999</v>
      </c>
      <c r="G22" s="341"/>
      <c r="H22" s="384"/>
      <c r="K22" s="498"/>
      <c r="M22" s="320"/>
      <c r="N22" s="320"/>
      <c r="O22" s="320"/>
      <c r="P22" s="320"/>
      <c r="Q22" s="320"/>
      <c r="R22" s="320"/>
      <c r="S22" s="320"/>
      <c r="T22" s="256"/>
      <c r="U22" s="320"/>
      <c r="V22" s="320"/>
      <c r="W22" s="320"/>
      <c r="X22" s="320"/>
      <c r="Y22" s="320"/>
      <c r="Z22" s="320"/>
      <c r="AA22" s="320"/>
    </row>
    <row r="23" spans="3:32" hidden="1" x14ac:dyDescent="0.2">
      <c r="G23" s="341"/>
      <c r="H23" s="384"/>
      <c r="M23" s="320"/>
      <c r="N23" s="320"/>
      <c r="O23" s="320"/>
      <c r="P23" s="320"/>
      <c r="Q23" s="320"/>
      <c r="R23" s="320"/>
      <c r="S23" s="320"/>
      <c r="T23" s="256"/>
      <c r="U23" s="320"/>
      <c r="V23" s="320"/>
      <c r="W23" s="320"/>
      <c r="X23" s="320"/>
      <c r="Y23" s="320"/>
      <c r="Z23" s="320"/>
      <c r="AA23" s="320"/>
    </row>
    <row r="24" spans="3:32" hidden="1" x14ac:dyDescent="0.2">
      <c r="F24" s="1769">
        <f>F12-F22</f>
        <v>0</v>
      </c>
      <c r="G24" s="341"/>
      <c r="H24" s="384"/>
      <c r="M24" s="320"/>
      <c r="N24" s="320"/>
      <c r="O24" s="320"/>
      <c r="P24" s="320"/>
      <c r="Q24" s="320"/>
      <c r="R24" s="320"/>
      <c r="S24" s="320"/>
      <c r="T24" s="256"/>
      <c r="U24" s="320"/>
      <c r="V24" s="320"/>
      <c r="W24" s="320"/>
      <c r="X24" s="320"/>
      <c r="Y24" s="320"/>
      <c r="Z24" s="320"/>
      <c r="AA24" s="320"/>
    </row>
    <row r="25" spans="3:32" x14ac:dyDescent="0.2">
      <c r="G25" s="341"/>
      <c r="H25" s="384"/>
      <c r="M25" s="320"/>
      <c r="N25" s="320"/>
      <c r="O25" s="320"/>
      <c r="P25" s="320"/>
      <c r="Q25" s="320"/>
      <c r="R25" s="320"/>
      <c r="S25" s="320"/>
      <c r="T25" s="256"/>
      <c r="U25" s="320"/>
      <c r="V25" s="320"/>
      <c r="W25" s="320"/>
      <c r="X25" s="320"/>
      <c r="Y25" s="320"/>
      <c r="Z25" s="320"/>
      <c r="AA25" s="320"/>
    </row>
    <row r="26" spans="3:32" x14ac:dyDescent="0.2">
      <c r="G26" s="341"/>
      <c r="H26" s="384"/>
      <c r="M26" s="320"/>
      <c r="N26" s="320"/>
      <c r="O26" s="320"/>
      <c r="P26" s="320"/>
      <c r="Q26" s="320"/>
      <c r="R26" s="320"/>
      <c r="S26" s="320"/>
      <c r="T26" s="256"/>
      <c r="U26" s="320"/>
      <c r="V26" s="320"/>
      <c r="W26" s="320"/>
      <c r="X26" s="320"/>
      <c r="Y26" s="320"/>
      <c r="Z26" s="320"/>
      <c r="AA26" s="320"/>
    </row>
    <row r="27" spans="3:32" x14ac:dyDescent="0.2">
      <c r="G27" s="341"/>
      <c r="H27" s="384"/>
      <c r="M27" s="320"/>
      <c r="N27" s="320"/>
      <c r="O27" s="320"/>
      <c r="P27" s="320"/>
      <c r="Q27" s="320"/>
      <c r="R27" s="320"/>
      <c r="S27" s="320"/>
      <c r="T27" s="256"/>
      <c r="U27" s="320"/>
      <c r="V27" s="320"/>
      <c r="W27" s="320"/>
      <c r="X27" s="320"/>
      <c r="Y27" s="320"/>
      <c r="Z27" s="320"/>
      <c r="AA27" s="320"/>
    </row>
    <row r="28" spans="3:32" x14ac:dyDescent="0.2">
      <c r="G28" s="341"/>
      <c r="H28" s="384"/>
      <c r="M28" s="320"/>
      <c r="N28" s="320"/>
      <c r="O28" s="320"/>
      <c r="P28" s="320"/>
      <c r="Q28" s="320"/>
      <c r="R28" s="320"/>
      <c r="S28" s="320"/>
      <c r="T28" s="256"/>
      <c r="U28" s="320"/>
      <c r="V28" s="320"/>
      <c r="W28" s="320"/>
      <c r="X28" s="320"/>
      <c r="Y28" s="320"/>
      <c r="Z28" s="320"/>
      <c r="AA28" s="320"/>
    </row>
    <row r="29" spans="3:32" x14ac:dyDescent="0.2">
      <c r="G29" s="341"/>
      <c r="H29" s="341"/>
      <c r="I29" s="341"/>
      <c r="M29" s="320"/>
      <c r="N29" s="320"/>
      <c r="O29" s="320"/>
      <c r="P29" s="320"/>
      <c r="Q29" s="320"/>
      <c r="R29" s="320"/>
      <c r="S29" s="320"/>
      <c r="T29" s="256"/>
      <c r="U29" s="320"/>
      <c r="V29" s="320"/>
      <c r="W29" s="320"/>
      <c r="X29" s="320"/>
      <c r="Y29" s="320"/>
      <c r="Z29" s="320"/>
      <c r="AA29" s="320"/>
    </row>
    <row r="30" spans="3:32" x14ac:dyDescent="0.2">
      <c r="G30" s="341"/>
      <c r="H30" s="384"/>
      <c r="M30" s="320"/>
      <c r="N30" s="320"/>
      <c r="O30" s="320"/>
      <c r="P30" s="320"/>
      <c r="Q30" s="320"/>
      <c r="R30" s="320"/>
      <c r="S30" s="320"/>
      <c r="T30" s="256"/>
      <c r="U30" s="320"/>
      <c r="V30" s="320"/>
      <c r="W30" s="320"/>
      <c r="X30" s="320"/>
      <c r="Y30" s="320"/>
      <c r="Z30" s="320"/>
      <c r="AA30" s="320"/>
    </row>
    <row r="31" spans="3:32" x14ac:dyDescent="0.2">
      <c r="G31" s="341"/>
      <c r="H31" s="341"/>
      <c r="I31" s="341"/>
    </row>
    <row r="32" spans="3:32" x14ac:dyDescent="0.2">
      <c r="G32" s="341"/>
      <c r="H32" s="384"/>
    </row>
    <row r="33" spans="7:10" x14ac:dyDescent="0.2">
      <c r="G33" s="341"/>
      <c r="H33" s="341"/>
      <c r="I33" s="341"/>
    </row>
    <row r="34" spans="7:10" x14ac:dyDescent="0.2">
      <c r="G34" s="341"/>
      <c r="H34" s="384"/>
    </row>
    <row r="35" spans="7:10" x14ac:dyDescent="0.2">
      <c r="G35" s="341"/>
    </row>
    <row r="36" spans="7:10" x14ac:dyDescent="0.2">
      <c r="G36" s="341"/>
    </row>
    <row r="37" spans="7:10" x14ac:dyDescent="0.2">
      <c r="G37" s="341"/>
      <c r="H37" s="341"/>
      <c r="I37" s="341"/>
      <c r="J37" s="385"/>
    </row>
    <row r="38" spans="7:10" x14ac:dyDescent="0.2">
      <c r="H38" s="119"/>
      <c r="I38" s="119"/>
    </row>
    <row r="39" spans="7:10" x14ac:dyDescent="0.2">
      <c r="G39" s="341"/>
      <c r="H39" s="384"/>
    </row>
    <row r="42" spans="7:10" x14ac:dyDescent="0.2">
      <c r="G42" s="341"/>
    </row>
    <row r="60" spans="14:14" x14ac:dyDescent="0.2">
      <c r="N60" s="222"/>
    </row>
  </sheetData>
  <mergeCells count="47">
    <mergeCell ref="P7:V7"/>
    <mergeCell ref="G7:H7"/>
    <mergeCell ref="F6:AC6"/>
    <mergeCell ref="W7:AC7"/>
    <mergeCell ref="W8:W10"/>
    <mergeCell ref="X8:Z8"/>
    <mergeCell ref="AA8:AC8"/>
    <mergeCell ref="X9:X10"/>
    <mergeCell ref="Y9:Z9"/>
    <mergeCell ref="AA9:AA10"/>
    <mergeCell ref="AB9:AC9"/>
    <mergeCell ref="H8:H10"/>
    <mergeCell ref="Q8:S8"/>
    <mergeCell ref="P8:P10"/>
    <mergeCell ref="T8:V8"/>
    <mergeCell ref="A4:AF4"/>
    <mergeCell ref="U5:AF5"/>
    <mergeCell ref="AF8:AF10"/>
    <mergeCell ref="AE8:AE10"/>
    <mergeCell ref="M9:M10"/>
    <mergeCell ref="I8:I10"/>
    <mergeCell ref="J8:L8"/>
    <mergeCell ref="D8:D10"/>
    <mergeCell ref="E8:E10"/>
    <mergeCell ref="U9:V9"/>
    <mergeCell ref="R9:S9"/>
    <mergeCell ref="T9:T10"/>
    <mergeCell ref="Q9:Q10"/>
    <mergeCell ref="G8:G10"/>
    <mergeCell ref="M8:O8"/>
    <mergeCell ref="F7:F10"/>
    <mergeCell ref="A2:AF2"/>
    <mergeCell ref="A1:C1"/>
    <mergeCell ref="AD1:AF1"/>
    <mergeCell ref="A3:AF3"/>
    <mergeCell ref="A6:A10"/>
    <mergeCell ref="B6:B10"/>
    <mergeCell ref="C6:E6"/>
    <mergeCell ref="AD6:AF6"/>
    <mergeCell ref="C7:C10"/>
    <mergeCell ref="D7:E7"/>
    <mergeCell ref="AE7:AF7"/>
    <mergeCell ref="J9:J10"/>
    <mergeCell ref="I7:O7"/>
    <mergeCell ref="K9:L9"/>
    <mergeCell ref="AD7:AD10"/>
    <mergeCell ref="N9:O9"/>
  </mergeCells>
  <printOptions horizontalCentered="1"/>
  <pageMargins left="0.35433070866141703" right="0.35433070866141703" top="0.59055118110236204" bottom="0.76" header="0.31496062992126" footer="0.41"/>
  <pageSetup paperSize="9" scale="42" firstPageNumber="26" orientation="landscape" useFirstPageNumber="1" r:id="rId1"/>
  <headerFooter>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887C-3D59-46B1-A67F-61D00C4D59D3}">
  <dimension ref="A1"/>
  <sheetViews>
    <sheetView workbookViewId="0">
      <selection activeCell="F31" sqref="F31"/>
    </sheetView>
  </sheetViews>
  <sheetFormatPr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53"/>
  <sheetViews>
    <sheetView zoomScale="90" zoomScaleNormal="90" zoomScaleSheetLayoutView="80" workbookViewId="0">
      <selection activeCell="AU28" sqref="AU28"/>
    </sheetView>
  </sheetViews>
  <sheetFormatPr defaultColWidth="9.140625" defaultRowHeight="15" x14ac:dyDescent="0.25"/>
  <cols>
    <col min="1" max="1" width="6.7109375" style="41" customWidth="1"/>
    <col min="2" max="2" width="32.85546875" style="41" customWidth="1"/>
    <col min="3" max="3" width="13" style="41" customWidth="1"/>
    <col min="4" max="4" width="13.42578125" style="41" customWidth="1"/>
    <col min="5" max="5" width="10.5703125" style="41" customWidth="1"/>
    <col min="6" max="6" width="12.5703125" style="150" customWidth="1"/>
    <col min="7" max="7" width="12.7109375" style="36" customWidth="1"/>
    <col min="8" max="8" width="13.140625" style="36" customWidth="1"/>
    <col min="9" max="9" width="13.140625" style="41" customWidth="1"/>
    <col min="10" max="10" width="11" style="41" customWidth="1"/>
    <col min="11" max="11" width="12.42578125" style="41" customWidth="1"/>
    <col min="12" max="12" width="18.5703125" style="41" hidden="1" customWidth="1"/>
    <col min="13" max="13" width="17" style="41" hidden="1" customWidth="1"/>
    <col min="14" max="14" width="12.140625" style="194" hidden="1" customWidth="1"/>
    <col min="15" max="16" width="10.28515625" style="264" hidden="1" customWidth="1"/>
    <col min="17" max="17" width="14.28515625" style="264" hidden="1" customWidth="1"/>
    <col min="18" max="18" width="15.7109375" style="264" hidden="1" customWidth="1"/>
    <col min="19" max="19" width="11.85546875" style="264" hidden="1" customWidth="1"/>
    <col min="20" max="20" width="14.5703125" style="41" hidden="1" customWidth="1"/>
    <col min="21" max="21" width="25.28515625" style="41" hidden="1" customWidth="1"/>
    <col min="22" max="22" width="18.85546875" style="41" hidden="1" customWidth="1"/>
    <col min="23" max="23" width="19.42578125" style="41" hidden="1" customWidth="1"/>
    <col min="24" max="24" width="26.140625" style="41" hidden="1" customWidth="1"/>
    <col min="25" max="44" width="0" style="41" hidden="1" customWidth="1"/>
    <col min="45" max="16384" width="9.140625" style="41"/>
  </cols>
  <sheetData>
    <row r="1" spans="1:20" ht="18.600000000000001" customHeight="1" x14ac:dyDescent="0.25">
      <c r="A1" s="193" t="str">
        <f>'48_NĐ31'!A1</f>
        <v xml:space="preserve">UBND PHƯỜNG BẮC KẠN </v>
      </c>
      <c r="J1" s="3212" t="s">
        <v>972</v>
      </c>
      <c r="K1" s="3212"/>
    </row>
    <row r="2" spans="1:20" s="196" customFormat="1" ht="36" customHeight="1" x14ac:dyDescent="0.25">
      <c r="A2" s="3213" t="s">
        <v>737</v>
      </c>
      <c r="B2" s="3213"/>
      <c r="C2" s="3213"/>
      <c r="D2" s="3213"/>
      <c r="E2" s="3213"/>
      <c r="F2" s="3213"/>
      <c r="G2" s="3213"/>
      <c r="H2" s="3213"/>
      <c r="I2" s="3213"/>
      <c r="J2" s="3213"/>
      <c r="K2" s="3213"/>
      <c r="N2" s="197"/>
      <c r="O2" s="264"/>
      <c r="P2" s="264"/>
      <c r="Q2" s="264"/>
      <c r="R2" s="264"/>
      <c r="S2" s="264"/>
    </row>
    <row r="3" spans="1:20" ht="14.45" customHeight="1" x14ac:dyDescent="0.25">
      <c r="A3" s="3202" t="str">
        <f>'48_NĐ31'!A4:G4</f>
        <v>(Kèm theo Quyết định số          /QĐ-UBND ngày          /4/2026 của UBND phường Bắc Kạn)</v>
      </c>
      <c r="B3" s="3202"/>
      <c r="C3" s="3202"/>
      <c r="D3" s="3202"/>
      <c r="E3" s="3202"/>
      <c r="F3" s="3202"/>
      <c r="G3" s="3202"/>
      <c r="H3" s="3202"/>
      <c r="I3" s="3202"/>
      <c r="J3" s="3202"/>
      <c r="K3" s="3202"/>
    </row>
    <row r="4" spans="1:20" ht="15.75" x14ac:dyDescent="0.25">
      <c r="H4" s="46"/>
      <c r="K4" s="200" t="s">
        <v>1187</v>
      </c>
    </row>
    <row r="5" spans="1:20" s="880" customFormat="1" ht="16.5" customHeight="1" x14ac:dyDescent="0.25">
      <c r="A5" s="3214" t="s">
        <v>0</v>
      </c>
      <c r="B5" s="3214" t="s">
        <v>52</v>
      </c>
      <c r="C5" s="3214" t="s">
        <v>597</v>
      </c>
      <c r="D5" s="3215" t="s">
        <v>14</v>
      </c>
      <c r="E5" s="3216"/>
      <c r="F5" s="3216"/>
      <c r="G5" s="3217"/>
      <c r="H5" s="3134" t="s">
        <v>449</v>
      </c>
      <c r="I5" s="3214" t="s">
        <v>450</v>
      </c>
      <c r="J5" s="3214" t="s">
        <v>47</v>
      </c>
      <c r="K5" s="3214"/>
      <c r="M5" s="881" t="s">
        <v>660</v>
      </c>
      <c r="N5" s="882"/>
      <c r="O5" s="883"/>
      <c r="P5" s="883"/>
      <c r="Q5" s="883"/>
      <c r="R5" s="884"/>
      <c r="S5" s="883"/>
    </row>
    <row r="6" spans="1:20" s="880" customFormat="1" ht="72.75" customHeight="1" x14ac:dyDescent="0.25">
      <c r="A6" s="3214"/>
      <c r="B6" s="3214"/>
      <c r="C6" s="3214"/>
      <c r="D6" s="879" t="s">
        <v>900</v>
      </c>
      <c r="E6" s="879" t="s">
        <v>451</v>
      </c>
      <c r="F6" s="885" t="s">
        <v>901</v>
      </c>
      <c r="G6" s="5" t="s">
        <v>902</v>
      </c>
      <c r="H6" s="3134"/>
      <c r="I6" s="3214"/>
      <c r="J6" s="879" t="s">
        <v>452</v>
      </c>
      <c r="K6" s="879" t="s">
        <v>453</v>
      </c>
      <c r="L6" s="886"/>
      <c r="M6" s="887" t="e">
        <f>D10+E10+F10+G10</f>
        <v>#REF!</v>
      </c>
      <c r="N6" s="882"/>
      <c r="O6" s="102"/>
      <c r="P6" s="102"/>
      <c r="Q6" s="888"/>
      <c r="R6" s="889"/>
      <c r="S6" s="888"/>
    </row>
    <row r="7" spans="1:20" s="880" customFormat="1" ht="20.25" customHeight="1" x14ac:dyDescent="0.25">
      <c r="A7" s="890" t="s">
        <v>3</v>
      </c>
      <c r="B7" s="890" t="s">
        <v>4</v>
      </c>
      <c r="C7" s="890" t="s">
        <v>491</v>
      </c>
      <c r="D7" s="890">
        <v>2</v>
      </c>
      <c r="E7" s="890">
        <v>3</v>
      </c>
      <c r="F7" s="891">
        <v>4</v>
      </c>
      <c r="G7" s="252">
        <v>5</v>
      </c>
      <c r="H7" s="252">
        <v>6</v>
      </c>
      <c r="I7" s="890" t="s">
        <v>492</v>
      </c>
      <c r="J7" s="890">
        <v>8</v>
      </c>
      <c r="K7" s="890">
        <v>9</v>
      </c>
      <c r="M7" s="892"/>
      <c r="N7" s="882"/>
      <c r="O7" s="893" t="s">
        <v>757</v>
      </c>
      <c r="P7" s="893" t="s">
        <v>818</v>
      </c>
      <c r="Q7" s="894" t="s">
        <v>749</v>
      </c>
      <c r="R7" s="894" t="s">
        <v>756</v>
      </c>
      <c r="S7" s="894" t="s">
        <v>817</v>
      </c>
    </row>
    <row r="8" spans="1:20" s="880" customFormat="1" ht="19.149999999999999" customHeight="1" x14ac:dyDescent="0.25">
      <c r="A8" s="895"/>
      <c r="B8" s="896" t="s">
        <v>29</v>
      </c>
      <c r="C8" s="202" t="e">
        <f t="shared" ref="C8:K8" si="0">C9+C21</f>
        <v>#REF!</v>
      </c>
      <c r="D8" s="202">
        <f t="shared" si="0"/>
        <v>13839.742512999999</v>
      </c>
      <c r="E8" s="202" t="e">
        <f t="shared" si="0"/>
        <v>#REF!</v>
      </c>
      <c r="F8" s="202">
        <f t="shared" si="0"/>
        <v>5242.0159999999996</v>
      </c>
      <c r="G8" s="336">
        <f t="shared" si="0"/>
        <v>-4988.3340749999998</v>
      </c>
      <c r="H8" s="336" t="e">
        <f t="shared" si="0"/>
        <v>#REF!</v>
      </c>
      <c r="I8" s="541" t="e">
        <f t="shared" si="0"/>
        <v>#REF!</v>
      </c>
      <c r="J8" s="444" t="e">
        <f t="shared" si="0"/>
        <v>#REF!</v>
      </c>
      <c r="K8" s="444" t="e">
        <f t="shared" si="0"/>
        <v>#REF!</v>
      </c>
      <c r="L8" s="897" t="e">
        <f>'61_NĐ31'!#REF!</f>
        <v>#REF!</v>
      </c>
      <c r="M8" s="898"/>
      <c r="N8" s="899"/>
      <c r="O8" s="900"/>
      <c r="P8" s="901"/>
      <c r="Q8" s="902"/>
      <c r="R8" s="902"/>
      <c r="S8" s="900"/>
    </row>
    <row r="9" spans="1:20" s="880" customFormat="1" ht="19.149999999999999" customHeight="1" x14ac:dyDescent="0.25">
      <c r="A9" s="5" t="s">
        <v>5</v>
      </c>
      <c r="B9" s="84" t="s">
        <v>503</v>
      </c>
      <c r="C9" s="203" t="e">
        <f t="shared" ref="C9:K9" si="1">SUM(C10:C20)</f>
        <v>#REF!</v>
      </c>
      <c r="D9" s="203">
        <f t="shared" si="1"/>
        <v>12460.578806</v>
      </c>
      <c r="E9" s="203" t="e">
        <f t="shared" si="1"/>
        <v>#REF!</v>
      </c>
      <c r="F9" s="203">
        <f t="shared" si="1"/>
        <v>2760.3359999999998</v>
      </c>
      <c r="G9" s="85">
        <f t="shared" si="1"/>
        <v>-4988.3340749999998</v>
      </c>
      <c r="H9" s="85" t="e">
        <f>SUM(H10:H20)</f>
        <v>#REF!</v>
      </c>
      <c r="I9" s="542" t="e">
        <f t="shared" si="1"/>
        <v>#REF!</v>
      </c>
      <c r="J9" s="441" t="e">
        <f t="shared" si="1"/>
        <v>#REF!</v>
      </c>
      <c r="K9" s="441" t="e">
        <f t="shared" si="1"/>
        <v>#REF!</v>
      </c>
      <c r="L9" s="903" t="e">
        <f>L8-H9</f>
        <v>#REF!</v>
      </c>
      <c r="M9" s="904">
        <f>SUM(M10:M20)</f>
        <v>2760.3359999999998</v>
      </c>
      <c r="N9" s="904">
        <f t="shared" ref="N9" si="2">SUM(N10:N20)</f>
        <v>2760.3359999999998</v>
      </c>
      <c r="O9" s="904">
        <f>SUM(O10:O29)</f>
        <v>3294.5589999999997</v>
      </c>
      <c r="P9" s="904">
        <f t="shared" ref="P9:S9" si="3">SUM(P10:P29)</f>
        <v>-260</v>
      </c>
      <c r="Q9" s="904">
        <f t="shared" si="3"/>
        <v>90</v>
      </c>
      <c r="R9" s="904">
        <f t="shared" si="3"/>
        <v>419.45699999999999</v>
      </c>
      <c r="S9" s="904">
        <f t="shared" si="3"/>
        <v>1698</v>
      </c>
    </row>
    <row r="10" spans="1:20" s="880" customFormat="1" ht="19.149999999999999" customHeight="1" x14ac:dyDescent="0.25">
      <c r="A10" s="113">
        <v>1</v>
      </c>
      <c r="B10" s="641" t="s">
        <v>516</v>
      </c>
      <c r="C10" s="114" t="e">
        <f>D10+E10+F10+G10</f>
        <v>#REF!</v>
      </c>
      <c r="D10" s="110"/>
      <c r="E10" s="110" t="e">
        <f>'61_NĐ31'!#REF!</f>
        <v>#REF!</v>
      </c>
      <c r="F10" s="111">
        <f t="shared" ref="F10:F20" si="4">M10</f>
        <v>157.73599999999999</v>
      </c>
      <c r="G10" s="339"/>
      <c r="H10" s="88" t="e">
        <f>'61_NĐ31'!#REF!</f>
        <v>#REF!</v>
      </c>
      <c r="I10" s="115" t="e">
        <f>C10-H10</f>
        <v>#REF!</v>
      </c>
      <c r="J10" s="442" t="e">
        <f>I10</f>
        <v>#REF!</v>
      </c>
      <c r="K10" s="442" t="e">
        <f t="shared" ref="K10:K15" si="5">I10-J10</f>
        <v>#REF!</v>
      </c>
      <c r="L10" s="905"/>
      <c r="M10" s="904">
        <f>N10</f>
        <v>157.73599999999999</v>
      </c>
      <c r="N10" s="906">
        <f t="shared" ref="N10:N18" si="6">SUM(O10:S10)</f>
        <v>157.73599999999999</v>
      </c>
      <c r="O10" s="900"/>
      <c r="P10" s="901"/>
      <c r="Q10" s="900"/>
      <c r="R10" s="907">
        <v>157.73599999999999</v>
      </c>
      <c r="S10" s="900"/>
    </row>
    <row r="11" spans="1:20" s="102" customFormat="1" ht="19.149999999999999" customHeight="1" x14ac:dyDescent="0.25">
      <c r="A11" s="684">
        <v>2</v>
      </c>
      <c r="B11" s="774" t="s">
        <v>530</v>
      </c>
      <c r="C11" s="88" t="e">
        <f>D11+E11+F11+G11</f>
        <v>#REF!</v>
      </c>
      <c r="D11" s="88">
        <v>927.98342500000001</v>
      </c>
      <c r="E11" s="110" t="e">
        <f>'61_NĐ31'!#REF!</f>
        <v>#REF!</v>
      </c>
      <c r="F11" s="111">
        <f t="shared" si="4"/>
        <v>2300</v>
      </c>
      <c r="G11" s="88">
        <f>-1008.508875-2700</f>
        <v>-3708.508875</v>
      </c>
      <c r="H11" s="789" t="e">
        <f>'61_NĐ31'!#REF!</f>
        <v>#REF!</v>
      </c>
      <c r="I11" s="842" t="e">
        <f>C11-H11</f>
        <v>#REF!</v>
      </c>
      <c r="J11" s="775" t="e">
        <f>I11</f>
        <v>#REF!</v>
      </c>
      <c r="K11" s="775" t="e">
        <f t="shared" si="5"/>
        <v>#REF!</v>
      </c>
      <c r="L11" s="908"/>
      <c r="M11" s="904">
        <f t="shared" ref="M11:M17" si="7">N11</f>
        <v>2300</v>
      </c>
      <c r="N11" s="909">
        <f t="shared" si="6"/>
        <v>2300</v>
      </c>
      <c r="O11" s="900">
        <v>2500</v>
      </c>
      <c r="P11" s="901"/>
      <c r="Q11" s="900">
        <v>-200</v>
      </c>
      <c r="R11" s="907"/>
      <c r="S11" s="900"/>
      <c r="T11" s="102">
        <v>996700</v>
      </c>
    </row>
    <row r="12" spans="1:20" s="880" customFormat="1" ht="19.149999999999999" customHeight="1" x14ac:dyDescent="0.25">
      <c r="A12" s="113">
        <v>3</v>
      </c>
      <c r="B12" s="69" t="s">
        <v>658</v>
      </c>
      <c r="C12" s="110" t="e">
        <f>D12+E12+F12+G12</f>
        <v>#REF!</v>
      </c>
      <c r="D12" s="110"/>
      <c r="E12" s="110" t="e">
        <f>'61_NĐ31'!#REF!</f>
        <v>#REF!</v>
      </c>
      <c r="F12" s="111">
        <f t="shared" si="4"/>
        <v>0</v>
      </c>
      <c r="G12" s="88"/>
      <c r="H12" s="88" t="e">
        <f>'61_NĐ31'!#REF!</f>
        <v>#REF!</v>
      </c>
      <c r="I12" s="111" t="e">
        <f>C12-H12</f>
        <v>#REF!</v>
      </c>
      <c r="J12" s="111">
        <v>118.17059999999999</v>
      </c>
      <c r="K12" s="442" t="e">
        <f t="shared" si="5"/>
        <v>#REF!</v>
      </c>
      <c r="L12" s="905"/>
      <c r="M12" s="904">
        <f t="shared" si="7"/>
        <v>0</v>
      </c>
      <c r="N12" s="906">
        <f t="shared" si="6"/>
        <v>0</v>
      </c>
      <c r="O12" s="900"/>
      <c r="P12" s="901"/>
      <c r="Q12" s="900"/>
      <c r="R12" s="907"/>
      <c r="S12" s="900"/>
      <c r="T12" s="880">
        <v>12487400</v>
      </c>
    </row>
    <row r="13" spans="1:20" s="880" customFormat="1" ht="19.149999999999999" customHeight="1" x14ac:dyDescent="0.25">
      <c r="A13" s="684">
        <v>4</v>
      </c>
      <c r="B13" s="641" t="s">
        <v>517</v>
      </c>
      <c r="C13" s="110" t="e">
        <f>D13+E13+F13+G13</f>
        <v>#REF!</v>
      </c>
      <c r="D13" s="110"/>
      <c r="E13" s="110" t="e">
        <f>'61_NĐ31'!#REF!</f>
        <v>#REF!</v>
      </c>
      <c r="F13" s="111">
        <f t="shared" si="4"/>
        <v>0</v>
      </c>
      <c r="G13" s="88"/>
      <c r="H13" s="88" t="e">
        <f>'61_NĐ31'!#REF!</f>
        <v>#REF!</v>
      </c>
      <c r="I13" s="111" t="e">
        <f t="shared" ref="I13:I17" si="8">C13-H13</f>
        <v>#REF!</v>
      </c>
      <c r="J13" s="442"/>
      <c r="K13" s="442" t="e">
        <f t="shared" si="5"/>
        <v>#REF!</v>
      </c>
      <c r="L13" s="905"/>
      <c r="M13" s="904">
        <f t="shared" si="7"/>
        <v>0</v>
      </c>
      <c r="N13" s="906">
        <f t="shared" si="6"/>
        <v>0</v>
      </c>
      <c r="O13" s="900"/>
      <c r="P13" s="901"/>
      <c r="Q13" s="900"/>
      <c r="R13" s="907"/>
      <c r="S13" s="900"/>
    </row>
    <row r="14" spans="1:20" s="880" customFormat="1" ht="19.149999999999999" customHeight="1" x14ac:dyDescent="0.25">
      <c r="A14" s="684">
        <v>6</v>
      </c>
      <c r="B14" s="641" t="s">
        <v>518</v>
      </c>
      <c r="C14" s="110" t="e">
        <f t="shared" ref="C14:C20" si="9">D14+E14+F14+G14</f>
        <v>#REF!</v>
      </c>
      <c r="D14" s="110"/>
      <c r="E14" s="110" t="e">
        <f>'61_NĐ31'!#REF!</f>
        <v>#REF!</v>
      </c>
      <c r="F14" s="111">
        <f t="shared" si="4"/>
        <v>290</v>
      </c>
      <c r="G14" s="88"/>
      <c r="H14" s="88" t="e">
        <f>'61_NĐ31'!#REF!</f>
        <v>#REF!</v>
      </c>
      <c r="I14" s="843" t="e">
        <f t="shared" si="8"/>
        <v>#REF!</v>
      </c>
      <c r="J14" s="442">
        <v>111.6502</v>
      </c>
      <c r="K14" s="442" t="e">
        <f t="shared" si="5"/>
        <v>#REF!</v>
      </c>
      <c r="L14" s="910"/>
      <c r="M14" s="904">
        <f t="shared" si="7"/>
        <v>290</v>
      </c>
      <c r="N14" s="906">
        <f t="shared" si="6"/>
        <v>290</v>
      </c>
      <c r="O14" s="900"/>
      <c r="P14" s="901"/>
      <c r="Q14" s="900">
        <f>90+200</f>
        <v>290</v>
      </c>
      <c r="R14" s="907"/>
      <c r="S14" s="900"/>
      <c r="T14" s="880">
        <f>SUM(T11:T13)</f>
        <v>13484100</v>
      </c>
    </row>
    <row r="15" spans="1:20" s="880" customFormat="1" ht="14.25" customHeight="1" x14ac:dyDescent="0.25">
      <c r="A15" s="113">
        <v>7</v>
      </c>
      <c r="B15" s="641" t="s">
        <v>519</v>
      </c>
      <c r="C15" s="110" t="e">
        <f>D15+E15+F15+G15</f>
        <v>#REF!</v>
      </c>
      <c r="D15" s="110"/>
      <c r="E15" s="110" t="e">
        <f>'61_NĐ31'!#REF!</f>
        <v>#REF!</v>
      </c>
      <c r="F15" s="111">
        <f t="shared" si="4"/>
        <v>0</v>
      </c>
      <c r="G15" s="88">
        <v>-1231.3291999999999</v>
      </c>
      <c r="H15" s="88" t="e">
        <f>'61_NĐ31'!#REF!</f>
        <v>#REF!</v>
      </c>
      <c r="I15" s="111" t="e">
        <f>C15-H15</f>
        <v>#REF!</v>
      </c>
      <c r="J15" s="442"/>
      <c r="K15" s="442" t="e">
        <f t="shared" si="5"/>
        <v>#REF!</v>
      </c>
      <c r="L15" s="910"/>
      <c r="M15" s="904">
        <f>N15</f>
        <v>0</v>
      </c>
      <c r="N15" s="906">
        <f t="shared" si="6"/>
        <v>0</v>
      </c>
      <c r="O15" s="900"/>
      <c r="P15" s="901"/>
      <c r="Q15" s="900"/>
      <c r="R15" s="907"/>
      <c r="S15" s="900"/>
    </row>
    <row r="16" spans="1:20" s="918" customFormat="1" ht="0.75" hidden="1" customHeight="1" x14ac:dyDescent="0.25">
      <c r="A16" s="267">
        <v>8</v>
      </c>
      <c r="B16" s="911" t="s">
        <v>520</v>
      </c>
      <c r="C16" s="268" t="e">
        <f t="shared" si="9"/>
        <v>#REF!</v>
      </c>
      <c r="D16" s="268"/>
      <c r="E16" s="268" t="e">
        <f>'61_NĐ31'!#REF!</f>
        <v>#REF!</v>
      </c>
      <c r="F16" s="269">
        <f t="shared" si="4"/>
        <v>0</v>
      </c>
      <c r="G16" s="88"/>
      <c r="H16" s="88" t="e">
        <f>'61_NĐ31'!#REF!</f>
        <v>#REF!</v>
      </c>
      <c r="I16" s="269" t="e">
        <f t="shared" si="8"/>
        <v>#REF!</v>
      </c>
      <c r="J16" s="443"/>
      <c r="K16" s="443" t="e">
        <f t="shared" ref="K16:K29" si="10">I16-J16</f>
        <v>#REF!</v>
      </c>
      <c r="L16" s="912"/>
      <c r="M16" s="913">
        <f t="shared" si="7"/>
        <v>0</v>
      </c>
      <c r="N16" s="914">
        <f t="shared" si="6"/>
        <v>0</v>
      </c>
      <c r="O16" s="915"/>
      <c r="P16" s="916"/>
      <c r="Q16" s="915"/>
      <c r="R16" s="917"/>
      <c r="S16" s="915"/>
    </row>
    <row r="17" spans="1:24" s="880" customFormat="1" ht="19.149999999999999" customHeight="1" x14ac:dyDescent="0.25">
      <c r="A17" s="113">
        <v>9</v>
      </c>
      <c r="B17" s="641" t="s">
        <v>639</v>
      </c>
      <c r="C17" s="110" t="e">
        <f t="shared" si="9"/>
        <v>#REF!</v>
      </c>
      <c r="D17" s="110"/>
      <c r="E17" s="110" t="e">
        <f>'61_NĐ31'!#REF!</f>
        <v>#REF!</v>
      </c>
      <c r="F17" s="111">
        <f t="shared" si="4"/>
        <v>0</v>
      </c>
      <c r="G17" s="88"/>
      <c r="H17" s="88" t="e">
        <f>'61_NĐ31'!#REF!</f>
        <v>#REF!</v>
      </c>
      <c r="I17" s="111" t="e">
        <f t="shared" si="8"/>
        <v>#REF!</v>
      </c>
      <c r="J17" s="442"/>
      <c r="K17" s="442" t="e">
        <f t="shared" si="10"/>
        <v>#REF!</v>
      </c>
      <c r="L17" s="910"/>
      <c r="M17" s="904">
        <f t="shared" si="7"/>
        <v>0</v>
      </c>
      <c r="N17" s="906">
        <f t="shared" si="6"/>
        <v>0</v>
      </c>
      <c r="O17" s="900"/>
      <c r="P17" s="901"/>
      <c r="Q17" s="900"/>
      <c r="R17" s="907"/>
      <c r="S17" s="900"/>
    </row>
    <row r="18" spans="1:24" s="880" customFormat="1" ht="19.149999999999999" customHeight="1" x14ac:dyDescent="0.25">
      <c r="A18" s="113">
        <v>10</v>
      </c>
      <c r="B18" s="208" t="s">
        <v>659</v>
      </c>
      <c r="C18" s="205" t="e">
        <f>D18+E18+F18+G18</f>
        <v>#REF!</v>
      </c>
      <c r="D18" s="205"/>
      <c r="E18" s="110" t="e">
        <f>'61_NĐ31'!#REF!</f>
        <v>#REF!</v>
      </c>
      <c r="F18" s="111">
        <f>M18</f>
        <v>12.6</v>
      </c>
      <c r="G18" s="337">
        <v>-48.496000000000002</v>
      </c>
      <c r="H18" s="337" t="e">
        <f>'61_NĐ31'!#REF!</f>
        <v>#REF!</v>
      </c>
      <c r="I18" s="206" t="e">
        <f>C18-H18</f>
        <v>#REF!</v>
      </c>
      <c r="J18" s="206"/>
      <c r="K18" s="844" t="e">
        <f t="shared" si="10"/>
        <v>#REF!</v>
      </c>
      <c r="L18" s="910"/>
      <c r="M18" s="919">
        <f>N18</f>
        <v>12.6</v>
      </c>
      <c r="N18" s="906">
        <f t="shared" si="6"/>
        <v>12.6</v>
      </c>
      <c r="O18" s="920">
        <v>12.6</v>
      </c>
      <c r="P18" s="921"/>
      <c r="Q18" s="922"/>
      <c r="R18" s="923"/>
      <c r="S18" s="922"/>
    </row>
    <row r="19" spans="1:24" s="880" customFormat="1" ht="13.9" hidden="1" customHeight="1" x14ac:dyDescent="0.25">
      <c r="A19" s="113">
        <v>11</v>
      </c>
      <c r="B19" s="208" t="e">
        <f>'61_NĐ31'!#REF!</f>
        <v>#REF!</v>
      </c>
      <c r="C19" s="205" t="e">
        <f t="shared" si="9"/>
        <v>#REF!</v>
      </c>
      <c r="D19" s="205"/>
      <c r="E19" s="110" t="e">
        <f>'61_NĐ31'!#REF!</f>
        <v>#REF!</v>
      </c>
      <c r="F19" s="111">
        <f t="shared" si="4"/>
        <v>0</v>
      </c>
      <c r="G19" s="337"/>
      <c r="H19" s="337" t="e">
        <f>'61_NĐ31'!#REF!</f>
        <v>#REF!</v>
      </c>
      <c r="I19" s="206"/>
      <c r="J19" s="206"/>
      <c r="K19" s="206"/>
      <c r="L19" s="910"/>
      <c r="M19" s="919">
        <f t="shared" ref="M19:M29" si="11">N19</f>
        <v>0</v>
      </c>
      <c r="N19" s="924"/>
      <c r="O19" s="925"/>
      <c r="P19" s="925"/>
      <c r="Q19" s="925"/>
      <c r="R19" s="925"/>
      <c r="S19" s="925"/>
    </row>
    <row r="20" spans="1:24" s="880" customFormat="1" ht="28.5" customHeight="1" x14ac:dyDescent="0.25">
      <c r="A20" s="113">
        <v>12</v>
      </c>
      <c r="B20" s="208" t="e">
        <f>'61_NĐ31'!#REF!</f>
        <v>#REF!</v>
      </c>
      <c r="C20" s="205" t="e">
        <f t="shared" si="9"/>
        <v>#REF!</v>
      </c>
      <c r="D20" s="205">
        <v>11532.595380999999</v>
      </c>
      <c r="E20" s="110" t="e">
        <f>'61_NĐ31'!#REF!</f>
        <v>#REF!</v>
      </c>
      <c r="F20" s="111">
        <f t="shared" si="4"/>
        <v>0</v>
      </c>
      <c r="G20" s="337"/>
      <c r="H20" s="337"/>
      <c r="I20" s="206"/>
      <c r="J20" s="206"/>
      <c r="K20" s="206"/>
      <c r="L20" s="910">
        <f>L17-L18</f>
        <v>0</v>
      </c>
      <c r="M20" s="919">
        <f t="shared" si="11"/>
        <v>0</v>
      </c>
      <c r="N20" s="924"/>
      <c r="O20" s="925"/>
      <c r="P20" s="925"/>
      <c r="Q20" s="925"/>
      <c r="R20" s="925"/>
      <c r="S20" s="925"/>
    </row>
    <row r="21" spans="1:24" s="102" customFormat="1" ht="19.149999999999999" customHeight="1" x14ac:dyDescent="0.25">
      <c r="A21" s="5" t="s">
        <v>11</v>
      </c>
      <c r="B21" s="84" t="s">
        <v>504</v>
      </c>
      <c r="C21" s="116">
        <f>D21+E21+F21+G21</f>
        <v>1924740.9147069999</v>
      </c>
      <c r="D21" s="776">
        <f>SUM(D22:D29)</f>
        <v>1379.1637069999999</v>
      </c>
      <c r="E21" s="116">
        <f t="shared" ref="E21:K21" si="12">SUM(E22:E29)</f>
        <v>1920880.071</v>
      </c>
      <c r="F21" s="116">
        <f t="shared" si="12"/>
        <v>2481.6799999999998</v>
      </c>
      <c r="G21" s="116">
        <f t="shared" si="12"/>
        <v>0</v>
      </c>
      <c r="H21" s="116" t="e">
        <f t="shared" si="12"/>
        <v>#REF!</v>
      </c>
      <c r="I21" s="116" t="e">
        <f t="shared" si="12"/>
        <v>#REF!</v>
      </c>
      <c r="J21" s="116" t="e">
        <f>SUM(J22:J29)</f>
        <v>#REF!</v>
      </c>
      <c r="K21" s="116" t="e">
        <f t="shared" si="12"/>
        <v>#REF!</v>
      </c>
      <c r="L21" s="926"/>
      <c r="M21" s="919">
        <f t="shared" si="11"/>
        <v>0</v>
      </c>
      <c r="N21" s="909">
        <f t="shared" ref="N21:N29" si="13">SUM(O21:S21)</f>
        <v>0</v>
      </c>
      <c r="O21" s="900"/>
      <c r="P21" s="901"/>
      <c r="Q21" s="900"/>
      <c r="R21" s="901"/>
      <c r="S21" s="900"/>
    </row>
    <row r="22" spans="1:24" s="102" customFormat="1" ht="25.5" customHeight="1" x14ac:dyDescent="0.25">
      <c r="A22" s="684">
        <v>1</v>
      </c>
      <c r="B22" s="774" t="s">
        <v>526</v>
      </c>
      <c r="C22" s="88">
        <f>D22+E22+F22+G22</f>
        <v>173034.62099999998</v>
      </c>
      <c r="D22" s="88">
        <f>1123.5</f>
        <v>1123.5</v>
      </c>
      <c r="E22" s="88">
        <f>'61_NĐ31'!C13</f>
        <v>170649.4</v>
      </c>
      <c r="F22" s="683">
        <f>M22</f>
        <v>1261.721</v>
      </c>
      <c r="G22" s="88"/>
      <c r="H22" s="88">
        <f>'61_NĐ31'!F13</f>
        <v>170649.4</v>
      </c>
      <c r="I22" s="683">
        <f>C22-H22</f>
        <v>2385.2209999999905</v>
      </c>
      <c r="J22" s="683">
        <f>I22-K22</f>
        <v>2369.2068119999904</v>
      </c>
      <c r="K22" s="683">
        <v>16.014188000000001</v>
      </c>
      <c r="L22" s="927" t="e">
        <f>#REF!+#REF!</f>
        <v>#REF!</v>
      </c>
      <c r="M22" s="928">
        <f>N22</f>
        <v>1261.721</v>
      </c>
      <c r="N22" s="909">
        <f t="shared" si="13"/>
        <v>1261.721</v>
      </c>
      <c r="O22" s="900"/>
      <c r="P22" s="901">
        <v>-260</v>
      </c>
      <c r="Q22" s="900"/>
      <c r="R22" s="929">
        <f>139.721+15</f>
        <v>154.721</v>
      </c>
      <c r="S22" s="900">
        <v>1367</v>
      </c>
      <c r="U22" s="930"/>
      <c r="V22" s="782"/>
      <c r="W22" s="931"/>
      <c r="X22" s="930"/>
    </row>
    <row r="23" spans="1:24" s="102" customFormat="1" ht="23.25" customHeight="1" x14ac:dyDescent="0.25">
      <c r="A23" s="68">
        <v>2</v>
      </c>
      <c r="B23" s="69" t="s">
        <v>527</v>
      </c>
      <c r="C23" s="70">
        <f>D23+E23+F23+G23</f>
        <v>389095.22970700002</v>
      </c>
      <c r="D23" s="70">
        <v>241.029707</v>
      </c>
      <c r="E23" s="88">
        <f>'61_NĐ31'!C14</f>
        <v>388328.2</v>
      </c>
      <c r="F23" s="429">
        <f>M23</f>
        <v>526</v>
      </c>
      <c r="G23" s="70"/>
      <c r="H23" s="70">
        <f>'61_NĐ31'!F14</f>
        <v>376471.02</v>
      </c>
      <c r="I23" s="429">
        <f>C23-H23</f>
        <v>12624.209707000002</v>
      </c>
      <c r="J23" s="683">
        <f>I23-K23</f>
        <v>12586.888807000001</v>
      </c>
      <c r="K23" s="429">
        <v>37.320900000000002</v>
      </c>
      <c r="L23" s="932">
        <v>37.320899999999995</v>
      </c>
      <c r="M23" s="919">
        <f t="shared" si="11"/>
        <v>526</v>
      </c>
      <c r="N23" s="909">
        <f>SUM(O23:S23)</f>
        <v>526</v>
      </c>
      <c r="O23" s="900">
        <v>180</v>
      </c>
      <c r="P23" s="901"/>
      <c r="Q23" s="900"/>
      <c r="R23" s="933">
        <v>15</v>
      </c>
      <c r="S23" s="900">
        <v>331</v>
      </c>
      <c r="U23" s="934">
        <v>983169200</v>
      </c>
      <c r="V23" s="782"/>
      <c r="W23" s="931"/>
      <c r="X23" s="935"/>
    </row>
    <row r="24" spans="1:24" s="10" customFormat="1" ht="26.25" customHeight="1" x14ac:dyDescent="0.25">
      <c r="A24" s="68">
        <v>3</v>
      </c>
      <c r="B24" s="69" t="s">
        <v>524</v>
      </c>
      <c r="C24" s="412">
        <f>D24+E24+F24+G24</f>
        <v>1361932.105</v>
      </c>
      <c r="D24" s="70">
        <v>14.634</v>
      </c>
      <c r="E24" s="70">
        <f>'61_NĐ31'!C15</f>
        <v>1361902.4709999999</v>
      </c>
      <c r="F24" s="429">
        <f>M24</f>
        <v>15</v>
      </c>
      <c r="G24" s="70"/>
      <c r="H24" s="70">
        <f>'61_NĐ31'!F15</f>
        <v>913948.27399999998</v>
      </c>
      <c r="I24" s="429">
        <f>C24-H24</f>
        <v>447983.83100000001</v>
      </c>
      <c r="J24" s="429">
        <v>74</v>
      </c>
      <c r="K24" s="429">
        <f t="shared" si="10"/>
        <v>447909.83100000001</v>
      </c>
      <c r="L24" s="10" t="e">
        <f>#REF!</f>
        <v>#REF!</v>
      </c>
      <c r="M24" s="936">
        <f t="shared" si="11"/>
        <v>15</v>
      </c>
      <c r="N24" s="937">
        <f t="shared" si="13"/>
        <v>15</v>
      </c>
      <c r="O24" s="922"/>
      <c r="P24" s="925"/>
      <c r="Q24" s="938"/>
      <c r="R24" s="939">
        <v>15</v>
      </c>
      <c r="S24" s="922"/>
      <c r="U24" s="934">
        <v>248160000</v>
      </c>
      <c r="W24" s="940"/>
    </row>
    <row r="25" spans="1:24" s="880" customFormat="1" ht="20.25" customHeight="1" x14ac:dyDescent="0.25">
      <c r="A25" s="68">
        <v>4</v>
      </c>
      <c r="B25" s="69" t="s">
        <v>522</v>
      </c>
      <c r="C25" s="412">
        <f t="shared" ref="C25:C29" si="14">D25+E25+F25+G25</f>
        <v>15</v>
      </c>
      <c r="D25" s="941"/>
      <c r="E25" s="941"/>
      <c r="F25" s="429">
        <f t="shared" ref="F25:F29" si="15">M25</f>
        <v>15</v>
      </c>
      <c r="G25" s="942"/>
      <c r="H25" s="70" t="e">
        <f>'61_NĐ31'!#REF!</f>
        <v>#REF!</v>
      </c>
      <c r="I25" s="429" t="e">
        <f t="shared" ref="I25:I29" si="16">C25-H25</f>
        <v>#REF!</v>
      </c>
      <c r="J25" s="429"/>
      <c r="K25" s="429" t="e">
        <f t="shared" si="10"/>
        <v>#REF!</v>
      </c>
      <c r="L25" s="943" t="e">
        <f>L24-J23</f>
        <v>#REF!</v>
      </c>
      <c r="M25" s="880">
        <f t="shared" si="11"/>
        <v>15</v>
      </c>
      <c r="N25" s="882">
        <f t="shared" si="13"/>
        <v>15</v>
      </c>
      <c r="O25" s="883"/>
      <c r="P25" s="883"/>
      <c r="Q25" s="883"/>
      <c r="R25" s="883">
        <v>15</v>
      </c>
      <c r="S25" s="883"/>
      <c r="U25" s="934">
        <f>SUM(U23:U24)</f>
        <v>1231329200</v>
      </c>
      <c r="W25" s="944"/>
    </row>
    <row r="26" spans="1:24" s="880" customFormat="1" ht="22.5" customHeight="1" x14ac:dyDescent="0.25">
      <c r="A26" s="68">
        <v>5</v>
      </c>
      <c r="B26" s="69" t="s">
        <v>523</v>
      </c>
      <c r="C26" s="412">
        <f t="shared" si="14"/>
        <v>616.95899999999995</v>
      </c>
      <c r="D26" s="941"/>
      <c r="E26" s="941"/>
      <c r="F26" s="429">
        <f t="shared" si="15"/>
        <v>616.95899999999995</v>
      </c>
      <c r="G26" s="942"/>
      <c r="H26" s="70" t="e">
        <f>'61_NĐ31'!#REF!</f>
        <v>#REF!</v>
      </c>
      <c r="I26" s="429" t="e">
        <f t="shared" si="16"/>
        <v>#REF!</v>
      </c>
      <c r="J26" s="429" t="e">
        <f>I26</f>
        <v>#REF!</v>
      </c>
      <c r="K26" s="429" t="e">
        <f t="shared" si="10"/>
        <v>#REF!</v>
      </c>
      <c r="M26" s="880">
        <f t="shared" si="11"/>
        <v>616.95899999999995</v>
      </c>
      <c r="N26" s="882">
        <f t="shared" si="13"/>
        <v>616.95899999999995</v>
      </c>
      <c r="O26" s="883">
        <v>601.95899999999995</v>
      </c>
      <c r="P26" s="883"/>
      <c r="Q26" s="883"/>
      <c r="R26" s="883">
        <v>15</v>
      </c>
      <c r="S26" s="883"/>
      <c r="U26" s="934"/>
      <c r="W26" s="944"/>
    </row>
    <row r="27" spans="1:24" s="880" customFormat="1" ht="21" customHeight="1" x14ac:dyDescent="0.25">
      <c r="A27" s="68">
        <v>6</v>
      </c>
      <c r="B27" s="69" t="s">
        <v>758</v>
      </c>
      <c r="C27" s="412">
        <f t="shared" si="14"/>
        <v>15</v>
      </c>
      <c r="D27" s="941"/>
      <c r="E27" s="941"/>
      <c r="F27" s="429">
        <f t="shared" si="15"/>
        <v>15</v>
      </c>
      <c r="G27" s="942"/>
      <c r="H27" s="70" t="e">
        <f>'61_NĐ31'!#REF!</f>
        <v>#REF!</v>
      </c>
      <c r="I27" s="429" t="e">
        <f t="shared" si="16"/>
        <v>#REF!</v>
      </c>
      <c r="J27" s="429"/>
      <c r="K27" s="429" t="e">
        <f t="shared" si="10"/>
        <v>#REF!</v>
      </c>
      <c r="M27" s="880">
        <f t="shared" si="11"/>
        <v>15</v>
      </c>
      <c r="N27" s="882">
        <f t="shared" si="13"/>
        <v>15</v>
      </c>
      <c r="O27" s="883"/>
      <c r="P27" s="883"/>
      <c r="Q27" s="883"/>
      <c r="R27" s="883">
        <v>15</v>
      </c>
      <c r="S27" s="883"/>
      <c r="V27" s="945"/>
      <c r="W27" s="944"/>
      <c r="X27" s="946"/>
    </row>
    <row r="28" spans="1:24" s="880" customFormat="1" ht="22.5" customHeight="1" x14ac:dyDescent="0.25">
      <c r="A28" s="68">
        <v>7</v>
      </c>
      <c r="B28" s="69" t="s">
        <v>759</v>
      </c>
      <c r="C28" s="412">
        <f t="shared" si="14"/>
        <v>15</v>
      </c>
      <c r="D28" s="941"/>
      <c r="E28" s="941"/>
      <c r="F28" s="429">
        <f t="shared" si="15"/>
        <v>15</v>
      </c>
      <c r="G28" s="942"/>
      <c r="H28" s="70" t="e">
        <f>'61_NĐ31'!#REF!</f>
        <v>#REF!</v>
      </c>
      <c r="I28" s="429" t="e">
        <f t="shared" si="16"/>
        <v>#REF!</v>
      </c>
      <c r="J28" s="429"/>
      <c r="K28" s="429" t="e">
        <f t="shared" si="10"/>
        <v>#REF!</v>
      </c>
      <c r="L28" s="947" t="e">
        <f>L22-J22</f>
        <v>#REF!</v>
      </c>
      <c r="M28" s="880">
        <f t="shared" si="11"/>
        <v>15</v>
      </c>
      <c r="N28" s="882">
        <f t="shared" si="13"/>
        <v>15</v>
      </c>
      <c r="O28" s="883"/>
      <c r="P28" s="883"/>
      <c r="Q28" s="883"/>
      <c r="R28" s="883">
        <v>15</v>
      </c>
      <c r="S28" s="883"/>
      <c r="W28" s="948"/>
    </row>
    <row r="29" spans="1:24" s="880" customFormat="1" ht="15.75" x14ac:dyDescent="0.25">
      <c r="A29" s="845">
        <v>8</v>
      </c>
      <c r="B29" s="846" t="s">
        <v>525</v>
      </c>
      <c r="C29" s="847">
        <f t="shared" si="14"/>
        <v>17</v>
      </c>
      <c r="D29" s="949"/>
      <c r="E29" s="949"/>
      <c r="F29" s="848">
        <f t="shared" si="15"/>
        <v>17</v>
      </c>
      <c r="G29" s="950"/>
      <c r="H29" s="790" t="e">
        <f>'61_NĐ31'!#REF!</f>
        <v>#REF!</v>
      </c>
      <c r="I29" s="848" t="e">
        <f t="shared" si="16"/>
        <v>#REF!</v>
      </c>
      <c r="J29" s="949"/>
      <c r="K29" s="848" t="e">
        <f t="shared" si="10"/>
        <v>#REF!</v>
      </c>
      <c r="M29" s="880">
        <f t="shared" si="11"/>
        <v>17</v>
      </c>
      <c r="N29" s="882">
        <f t="shared" si="13"/>
        <v>17</v>
      </c>
      <c r="O29" s="883"/>
      <c r="P29" s="883"/>
      <c r="Q29" s="883"/>
      <c r="R29" s="883">
        <v>17</v>
      </c>
      <c r="S29" s="883"/>
      <c r="W29" s="951"/>
      <c r="X29" s="946"/>
    </row>
    <row r="30" spans="1:24" s="880" customFormat="1" ht="15.75" x14ac:dyDescent="0.25">
      <c r="D30" s="952"/>
      <c r="E30" s="953"/>
      <c r="F30" s="954"/>
      <c r="G30" s="102"/>
      <c r="H30" s="102"/>
      <c r="J30" s="955"/>
      <c r="N30" s="882"/>
      <c r="O30" s="883"/>
      <c r="P30" s="883"/>
      <c r="Q30" s="883"/>
      <c r="R30" s="883"/>
      <c r="S30" s="883"/>
      <c r="V30" s="955"/>
      <c r="X30" s="956"/>
    </row>
    <row r="31" spans="1:24" x14ac:dyDescent="0.25">
      <c r="C31" s="456"/>
      <c r="D31" s="314"/>
      <c r="E31" s="455"/>
      <c r="G31" s="335"/>
      <c r="J31" s="422"/>
      <c r="L31" s="41" t="e">
        <f>#REF!+#REF!</f>
        <v>#REF!</v>
      </c>
    </row>
    <row r="32" spans="1:24" x14ac:dyDescent="0.25">
      <c r="C32" s="279"/>
      <c r="D32" s="195"/>
      <c r="E32" s="195"/>
      <c r="G32" s="335"/>
      <c r="J32" s="195"/>
      <c r="K32" s="571"/>
      <c r="U32" s="280"/>
      <c r="W32" s="195"/>
    </row>
    <row r="33" spans="4:24" x14ac:dyDescent="0.25">
      <c r="D33" s="454"/>
      <c r="E33" s="455"/>
      <c r="G33" s="335"/>
      <c r="J33" s="195"/>
      <c r="K33" s="571"/>
      <c r="L33" s="282" t="e">
        <f>L31-J22</f>
        <v>#REF!</v>
      </c>
      <c r="X33" s="195"/>
    </row>
    <row r="34" spans="4:24" x14ac:dyDescent="0.25">
      <c r="D34" s="454"/>
      <c r="E34" s="455"/>
      <c r="G34" s="335"/>
      <c r="J34" s="195"/>
      <c r="K34" s="571"/>
      <c r="X34" s="195"/>
    </row>
    <row r="35" spans="4:24" x14ac:dyDescent="0.25">
      <c r="D35" s="454"/>
      <c r="E35" s="455"/>
      <c r="G35" s="335"/>
      <c r="J35" s="195"/>
      <c r="K35" s="271"/>
      <c r="X35" s="195"/>
    </row>
    <row r="36" spans="4:24" x14ac:dyDescent="0.25">
      <c r="D36" s="454"/>
      <c r="E36" s="455"/>
      <c r="F36" s="195"/>
      <c r="G36" s="294"/>
      <c r="J36" s="195"/>
      <c r="X36" s="195"/>
    </row>
    <row r="37" spans="4:24" x14ac:dyDescent="0.25">
      <c r="D37" s="455"/>
      <c r="E37" s="201"/>
      <c r="G37" s="188"/>
      <c r="J37" s="195"/>
      <c r="K37" s="281"/>
      <c r="W37" s="195"/>
      <c r="X37" s="195"/>
    </row>
    <row r="38" spans="4:24" x14ac:dyDescent="0.25">
      <c r="D38" s="455"/>
      <c r="E38" s="201"/>
      <c r="G38" s="188"/>
      <c r="H38" s="338"/>
      <c r="J38" s="195"/>
      <c r="K38" s="280"/>
      <c r="W38" s="195"/>
      <c r="X38" s="195"/>
    </row>
    <row r="39" spans="4:24" x14ac:dyDescent="0.25">
      <c r="D39" s="455"/>
      <c r="E39" s="201"/>
      <c r="G39" s="335"/>
      <c r="J39" s="195"/>
      <c r="W39" s="195"/>
      <c r="X39" s="195"/>
    </row>
    <row r="40" spans="4:24" x14ac:dyDescent="0.25">
      <c r="D40" s="455"/>
      <c r="E40" s="201"/>
      <c r="J40" s="195"/>
      <c r="W40" s="195"/>
      <c r="X40" s="195"/>
    </row>
    <row r="41" spans="4:24" x14ac:dyDescent="0.25">
      <c r="D41" s="454"/>
      <c r="E41" s="455"/>
      <c r="J41" s="195"/>
      <c r="K41" s="282"/>
      <c r="W41" s="195"/>
    </row>
    <row r="42" spans="4:24" x14ac:dyDescent="0.25">
      <c r="D42" s="454"/>
      <c r="E42" s="454"/>
      <c r="K42" s="281"/>
      <c r="W42" s="281"/>
    </row>
    <row r="43" spans="4:24" x14ac:dyDescent="0.25">
      <c r="D43" s="454"/>
      <c r="E43" s="454"/>
      <c r="J43" s="195"/>
    </row>
    <row r="44" spans="4:24" x14ac:dyDescent="0.25">
      <c r="D44" s="454"/>
      <c r="E44" s="454"/>
    </row>
    <row r="45" spans="4:24" x14ac:dyDescent="0.25">
      <c r="D45" s="454"/>
      <c r="E45" s="454"/>
    </row>
    <row r="46" spans="4:24" x14ac:dyDescent="0.25">
      <c r="D46" s="454"/>
      <c r="E46" s="454"/>
    </row>
    <row r="47" spans="4:24" x14ac:dyDescent="0.25">
      <c r="D47" s="454"/>
      <c r="E47" s="454"/>
    </row>
    <row r="48" spans="4:24" x14ac:dyDescent="0.25">
      <c r="D48" s="454"/>
      <c r="E48" s="454"/>
    </row>
    <row r="49" spans="4:5" x14ac:dyDescent="0.25">
      <c r="D49" s="454"/>
      <c r="E49" s="454"/>
    </row>
    <row r="50" spans="4:5" x14ac:dyDescent="0.25">
      <c r="D50" s="454"/>
      <c r="E50" s="454"/>
    </row>
    <row r="51" spans="4:5" x14ac:dyDescent="0.25">
      <c r="D51" s="454"/>
      <c r="E51" s="454"/>
    </row>
    <row r="52" spans="4:5" x14ac:dyDescent="0.25">
      <c r="D52" s="454"/>
      <c r="E52" s="454"/>
    </row>
    <row r="53" spans="4:5" x14ac:dyDescent="0.25">
      <c r="D53" s="454"/>
      <c r="E53" s="454"/>
    </row>
  </sheetData>
  <mergeCells count="10">
    <mergeCell ref="J1:K1"/>
    <mergeCell ref="A2:K2"/>
    <mergeCell ref="A3:K3"/>
    <mergeCell ref="A5:A6"/>
    <mergeCell ref="B5:B6"/>
    <mergeCell ref="C5:C6"/>
    <mergeCell ref="D5:G5"/>
    <mergeCell ref="H5:H6"/>
    <mergeCell ref="I5:I6"/>
    <mergeCell ref="J5:K5"/>
  </mergeCells>
  <pageMargins left="0.51181102362204722" right="0.31496062992125984" top="0.35433070866141736" bottom="0.35433070866141736" header="0.31496062992125984" footer="0.31496062992125984"/>
  <pageSetup paperSize="9" scale="90" firstPageNumber="36" orientation="landscape" useFirstPageNumber="1" r:id="rId1"/>
  <headerFooter>
    <oddHeader xml:space="preserve">&amp;C&amp;12
</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3"/>
  <sheetViews>
    <sheetView workbookViewId="0">
      <selection activeCell="P6" sqref="P6"/>
    </sheetView>
  </sheetViews>
  <sheetFormatPr defaultColWidth="9.140625" defaultRowHeight="15" x14ac:dyDescent="0.25"/>
  <cols>
    <col min="1" max="1" width="6.85546875" style="36" customWidth="1"/>
    <col min="2" max="2" width="85" style="36" customWidth="1"/>
    <col min="3" max="3" width="12.7109375" style="36" customWidth="1"/>
    <col min="4" max="4" width="19.5703125" style="126" customWidth="1"/>
    <col min="5" max="5" width="12.28515625" style="36" hidden="1" customWidth="1"/>
    <col min="6" max="6" width="7.5703125" style="36" hidden="1" customWidth="1"/>
    <col min="7" max="7" width="11.28515625" style="36" hidden="1" customWidth="1"/>
    <col min="8" max="8" width="1.140625" style="46" hidden="1" customWidth="1"/>
    <col min="9" max="9" width="6.5703125" style="36" hidden="1" customWidth="1"/>
    <col min="10" max="10" width="11.85546875" style="36" hidden="1" customWidth="1"/>
    <col min="11" max="11" width="11.28515625" style="36" hidden="1" customWidth="1"/>
    <col min="12" max="12" width="17.5703125" style="36" customWidth="1"/>
    <col min="13" max="13" width="16.140625" style="286" customWidth="1"/>
    <col min="14" max="14" width="10" style="387" customWidth="1"/>
    <col min="15" max="15" width="17.5703125" style="41" customWidth="1"/>
    <col min="16" max="16" width="12.42578125" style="41" customWidth="1"/>
    <col min="17" max="16384" width="9.140625" style="41"/>
  </cols>
  <sheetData>
    <row r="1" spans="1:16" x14ac:dyDescent="0.25">
      <c r="A1" s="44" t="str">
        <f>'48_NĐ31'!A1</f>
        <v xml:space="preserve">UBND PHƯỜNG BẮC KẠN </v>
      </c>
      <c r="M1" s="3212" t="s">
        <v>973</v>
      </c>
      <c r="N1" s="3212"/>
    </row>
    <row r="2" spans="1:16" ht="20.25" customHeight="1" x14ac:dyDescent="0.25">
      <c r="A2" s="3142" t="s">
        <v>738</v>
      </c>
      <c r="B2" s="3142"/>
      <c r="C2" s="3142"/>
      <c r="D2" s="3142"/>
      <c r="E2" s="3142"/>
      <c r="F2" s="3142"/>
      <c r="G2" s="3142"/>
      <c r="H2" s="3142"/>
      <c r="I2" s="3142"/>
      <c r="J2" s="3142"/>
      <c r="K2" s="3142"/>
      <c r="L2" s="3142"/>
      <c r="M2" s="3142"/>
      <c r="N2" s="3142"/>
    </row>
    <row r="3" spans="1:16" ht="21.75" customHeight="1" x14ac:dyDescent="0.25">
      <c r="A3" s="3138" t="str">
        <f>'61_NĐ31'!A4:AF4</f>
        <v>(Kèm theo Quyết định số          /QĐ-UBND ngày          /4/2026 của UBND phường Bắc Kạn)</v>
      </c>
      <c r="B3" s="3138"/>
      <c r="C3" s="3138"/>
      <c r="D3" s="3138"/>
      <c r="E3" s="3138"/>
      <c r="F3" s="3138"/>
      <c r="G3" s="3138"/>
      <c r="H3" s="3138"/>
      <c r="I3" s="3138"/>
      <c r="J3" s="3138"/>
      <c r="K3" s="3138"/>
      <c r="L3" s="3138"/>
      <c r="M3" s="3138"/>
      <c r="N3" s="303"/>
    </row>
    <row r="4" spans="1:16" ht="11.25" customHeight="1" x14ac:dyDescent="0.25">
      <c r="L4" s="388"/>
      <c r="M4" s="3219" t="s">
        <v>1187</v>
      </c>
      <c r="N4" s="3219"/>
    </row>
    <row r="5" spans="1:16" ht="27.75" customHeight="1" x14ac:dyDescent="0.25">
      <c r="A5" s="169" t="s">
        <v>0</v>
      </c>
      <c r="B5" s="169" t="s">
        <v>54</v>
      </c>
      <c r="C5" s="169" t="s">
        <v>478</v>
      </c>
      <c r="D5" s="169"/>
      <c r="E5" s="169"/>
      <c r="F5" s="169"/>
      <c r="G5" s="169"/>
      <c r="H5" s="169"/>
      <c r="I5" s="169"/>
      <c r="J5" s="3144" t="s">
        <v>769</v>
      </c>
      <c r="K5" s="3144" t="s">
        <v>770</v>
      </c>
      <c r="L5" s="3134" t="s">
        <v>1099</v>
      </c>
      <c r="M5" s="3134" t="s">
        <v>1100</v>
      </c>
      <c r="N5" s="3218" t="s">
        <v>414</v>
      </c>
    </row>
    <row r="6" spans="1:16" s="42" customFormat="1" ht="52.5" customHeight="1" x14ac:dyDescent="0.2">
      <c r="A6" s="130"/>
      <c r="B6" s="130"/>
      <c r="C6" s="130" t="s">
        <v>479</v>
      </c>
      <c r="D6" s="130" t="s">
        <v>480</v>
      </c>
      <c r="E6" s="130"/>
      <c r="F6" s="130"/>
      <c r="G6" s="130"/>
      <c r="H6" s="130"/>
      <c r="I6" s="130"/>
      <c r="J6" s="3144"/>
      <c r="K6" s="3144"/>
      <c r="L6" s="3134"/>
      <c r="M6" s="3134"/>
      <c r="N6" s="3218"/>
    </row>
    <row r="7" spans="1:16" ht="27.75" customHeight="1" x14ac:dyDescent="0.25">
      <c r="A7" s="169"/>
      <c r="B7" s="169"/>
      <c r="C7" s="169"/>
      <c r="D7" s="389" t="s">
        <v>56</v>
      </c>
      <c r="E7" s="169" t="s">
        <v>481</v>
      </c>
      <c r="F7" s="169"/>
      <c r="G7" s="169"/>
      <c r="H7" s="169"/>
      <c r="I7" s="169"/>
      <c r="J7" s="3144"/>
      <c r="K7" s="3144"/>
      <c r="L7" s="3134"/>
      <c r="M7" s="3134"/>
      <c r="N7" s="3218"/>
    </row>
    <row r="8" spans="1:16" ht="20.25" customHeight="1" x14ac:dyDescent="0.25">
      <c r="A8" s="169" t="s">
        <v>3</v>
      </c>
      <c r="B8" s="169" t="s">
        <v>4</v>
      </c>
      <c r="C8" s="169">
        <v>1</v>
      </c>
      <c r="D8" s="462">
        <v>2</v>
      </c>
      <c r="E8" s="390">
        <v>6</v>
      </c>
      <c r="F8" s="390">
        <v>7</v>
      </c>
      <c r="G8" s="390">
        <v>8</v>
      </c>
      <c r="H8" s="390">
        <v>3</v>
      </c>
      <c r="I8" s="169">
        <v>4</v>
      </c>
      <c r="J8" s="169">
        <v>5</v>
      </c>
      <c r="K8" s="169">
        <v>6</v>
      </c>
      <c r="L8" s="169">
        <v>7</v>
      </c>
      <c r="M8" s="169">
        <v>8</v>
      </c>
      <c r="N8" s="391" t="s">
        <v>607</v>
      </c>
    </row>
    <row r="9" spans="1:16" s="193" customFormat="1" ht="22.15" customHeight="1" x14ac:dyDescent="0.2">
      <c r="A9" s="247"/>
      <c r="B9" s="169" t="s">
        <v>29</v>
      </c>
      <c r="C9" s="169"/>
      <c r="D9" s="1083">
        <f t="shared" ref="D9" si="0">SUM(D10,D32)</f>
        <v>2462.6181880000004</v>
      </c>
      <c r="E9" s="463">
        <f t="shared" ref="E9:K9" si="1">SUM(E10,E32)</f>
        <v>0</v>
      </c>
      <c r="F9" s="463">
        <f t="shared" si="1"/>
        <v>0</v>
      </c>
      <c r="G9" s="463">
        <f t="shared" si="1"/>
        <v>0</v>
      </c>
      <c r="H9" s="463">
        <f t="shared" si="1"/>
        <v>0</v>
      </c>
      <c r="I9" s="463">
        <f t="shared" si="1"/>
        <v>0</v>
      </c>
      <c r="J9" s="463">
        <f t="shared" si="1"/>
        <v>0</v>
      </c>
      <c r="K9" s="463">
        <f t="shared" si="1"/>
        <v>0</v>
      </c>
      <c r="L9" s="463">
        <f>SUM(L10,L32)</f>
        <v>2067</v>
      </c>
      <c r="M9" s="463">
        <f>SUM(M10,M32)</f>
        <v>1813.3743700000002</v>
      </c>
      <c r="N9" s="406">
        <f>SUM(N10,N32)</f>
        <v>0</v>
      </c>
      <c r="O9" s="773"/>
    </row>
    <row r="10" spans="1:16" s="44" customFormat="1" ht="23.25" customHeight="1" x14ac:dyDescent="0.2">
      <c r="A10" s="394" t="s">
        <v>3</v>
      </c>
      <c r="B10" s="247" t="s">
        <v>684</v>
      </c>
      <c r="C10" s="395"/>
      <c r="D10" s="1083">
        <f t="shared" ref="D10" si="2">D11</f>
        <v>2462.6181880000004</v>
      </c>
      <c r="E10" s="420">
        <f t="shared" ref="E10:K10" si="3">E11</f>
        <v>0</v>
      </c>
      <c r="F10" s="420">
        <f t="shared" si="3"/>
        <v>0</v>
      </c>
      <c r="G10" s="420">
        <f t="shared" si="3"/>
        <v>0</v>
      </c>
      <c r="H10" s="420">
        <f t="shared" si="3"/>
        <v>0</v>
      </c>
      <c r="I10" s="420">
        <f t="shared" si="3"/>
        <v>0</v>
      </c>
      <c r="J10" s="420">
        <f t="shared" si="3"/>
        <v>0</v>
      </c>
      <c r="K10" s="420">
        <f t="shared" si="3"/>
        <v>0</v>
      </c>
      <c r="L10" s="420">
        <f>L11</f>
        <v>2067</v>
      </c>
      <c r="M10" s="420">
        <f>M11</f>
        <v>1777.8547290000001</v>
      </c>
      <c r="N10" s="396"/>
      <c r="P10" s="329"/>
    </row>
    <row r="11" spans="1:16" s="193" customFormat="1" ht="22.5" customHeight="1" x14ac:dyDescent="0.2">
      <c r="A11" s="394" t="s">
        <v>5</v>
      </c>
      <c r="B11" s="393" t="s">
        <v>780</v>
      </c>
      <c r="C11" s="395"/>
      <c r="D11" s="1083">
        <f t="shared" ref="D11" si="4">SUM(D12,D22)</f>
        <v>2462.6181880000004</v>
      </c>
      <c r="E11" s="420">
        <f t="shared" ref="E11:K11" si="5">SUM(E12,E22)</f>
        <v>0</v>
      </c>
      <c r="F11" s="420">
        <f t="shared" si="5"/>
        <v>0</v>
      </c>
      <c r="G11" s="420">
        <f t="shared" si="5"/>
        <v>0</v>
      </c>
      <c r="H11" s="420">
        <f t="shared" si="5"/>
        <v>0</v>
      </c>
      <c r="I11" s="420">
        <f t="shared" si="5"/>
        <v>0</v>
      </c>
      <c r="J11" s="420">
        <f t="shared" si="5"/>
        <v>0</v>
      </c>
      <c r="K11" s="420">
        <f t="shared" si="5"/>
        <v>0</v>
      </c>
      <c r="L11" s="420">
        <f>SUM(L12,L22)</f>
        <v>2067</v>
      </c>
      <c r="M11" s="420">
        <f>SUM(M12,M22)</f>
        <v>1777.8547290000001</v>
      </c>
      <c r="N11" s="397">
        <f>SUM(N12,N22)</f>
        <v>0</v>
      </c>
    </row>
    <row r="12" spans="1:16" ht="25.15" customHeight="1" x14ac:dyDescent="0.25">
      <c r="A12" s="285">
        <v>1</v>
      </c>
      <c r="B12" s="393" t="s">
        <v>682</v>
      </c>
      <c r="C12" s="250"/>
      <c r="D12" s="1083">
        <f>SUM(D13:D21)</f>
        <v>2462.6181880000004</v>
      </c>
      <c r="E12" s="250"/>
      <c r="F12" s="250"/>
      <c r="G12" s="250"/>
      <c r="H12" s="398"/>
      <c r="I12" s="250"/>
      <c r="J12" s="250"/>
      <c r="K12" s="250"/>
      <c r="L12" s="420">
        <f>SUM(L13:L21)</f>
        <v>1966</v>
      </c>
      <c r="M12" s="420">
        <f>SUM(M13:M21)</f>
        <v>1720.8547290000001</v>
      </c>
      <c r="N12" s="399"/>
      <c r="O12" s="1088">
        <f>M9-M13-M32</f>
        <v>1693.8547290000001</v>
      </c>
    </row>
    <row r="13" spans="1:16" ht="25.15" customHeight="1" x14ac:dyDescent="0.25">
      <c r="A13" s="466" t="s">
        <v>7</v>
      </c>
      <c r="B13" s="839" t="s">
        <v>761</v>
      </c>
      <c r="C13" s="467"/>
      <c r="D13" s="1084">
        <v>110</v>
      </c>
      <c r="E13" s="467"/>
      <c r="F13" s="467"/>
      <c r="G13" s="467"/>
      <c r="H13" s="468"/>
      <c r="I13" s="467"/>
      <c r="J13" s="467"/>
      <c r="K13" s="467"/>
      <c r="L13" s="469">
        <v>105</v>
      </c>
      <c r="M13" s="470">
        <v>84</v>
      </c>
      <c r="N13" s="471"/>
      <c r="O13" s="277">
        <f>L13-M13</f>
        <v>21</v>
      </c>
    </row>
    <row r="14" spans="1:16" ht="18" customHeight="1" x14ac:dyDescent="0.25">
      <c r="A14" s="152" t="s">
        <v>38</v>
      </c>
      <c r="B14" s="840" t="s">
        <v>781</v>
      </c>
      <c r="C14" s="364"/>
      <c r="D14" s="1085">
        <v>369</v>
      </c>
      <c r="E14" s="364"/>
      <c r="F14" s="364"/>
      <c r="G14" s="364"/>
      <c r="H14" s="472"/>
      <c r="I14" s="364"/>
      <c r="J14" s="364"/>
      <c r="K14" s="364"/>
      <c r="L14" s="473">
        <v>349</v>
      </c>
      <c r="M14" s="474">
        <v>295</v>
      </c>
      <c r="N14" s="475"/>
      <c r="O14" s="277">
        <f t="shared" ref="O14:O32" si="6">L14-M14</f>
        <v>54</v>
      </c>
    </row>
    <row r="15" spans="1:16" ht="19.5" customHeight="1" x14ac:dyDescent="0.25">
      <c r="A15" s="152" t="s">
        <v>39</v>
      </c>
      <c r="B15" s="840" t="s">
        <v>762</v>
      </c>
      <c r="C15" s="364"/>
      <c r="D15" s="1085">
        <v>505.41818799999999</v>
      </c>
      <c r="E15" s="364"/>
      <c r="F15" s="364"/>
      <c r="G15" s="364"/>
      <c r="H15" s="472"/>
      <c r="I15" s="364"/>
      <c r="J15" s="364"/>
      <c r="K15" s="364"/>
      <c r="L15" s="473">
        <v>247</v>
      </c>
      <c r="M15" s="474">
        <v>279.789602</v>
      </c>
      <c r="N15" s="475"/>
      <c r="O15" s="277">
        <f t="shared" si="6"/>
        <v>-32.789602000000002</v>
      </c>
    </row>
    <row r="16" spans="1:16" ht="25.15" customHeight="1" x14ac:dyDescent="0.25">
      <c r="A16" s="152" t="s">
        <v>40</v>
      </c>
      <c r="B16" s="840" t="s">
        <v>764</v>
      </c>
      <c r="C16" s="364"/>
      <c r="D16" s="1085">
        <v>131</v>
      </c>
      <c r="E16" s="364"/>
      <c r="F16" s="364"/>
      <c r="G16" s="364"/>
      <c r="H16" s="472"/>
      <c r="I16" s="364"/>
      <c r="J16" s="364"/>
      <c r="K16" s="364"/>
      <c r="L16" s="473">
        <v>125</v>
      </c>
      <c r="M16" s="474">
        <v>110.460026</v>
      </c>
      <c r="N16" s="475"/>
      <c r="O16" s="277">
        <f t="shared" si="6"/>
        <v>14.539974000000001</v>
      </c>
    </row>
    <row r="17" spans="1:15" ht="25.15" customHeight="1" x14ac:dyDescent="0.25">
      <c r="A17" s="152" t="s">
        <v>41</v>
      </c>
      <c r="B17" s="840" t="s">
        <v>765</v>
      </c>
      <c r="C17" s="364"/>
      <c r="D17" s="1085">
        <v>201</v>
      </c>
      <c r="E17" s="364"/>
      <c r="F17" s="364"/>
      <c r="G17" s="364"/>
      <c r="H17" s="472"/>
      <c r="I17" s="364"/>
      <c r="J17" s="364"/>
      <c r="K17" s="364"/>
      <c r="L17" s="473">
        <v>191</v>
      </c>
      <c r="M17" s="474">
        <v>156.51533499999999</v>
      </c>
      <c r="N17" s="475"/>
      <c r="O17" s="277">
        <f t="shared" si="6"/>
        <v>34.484665000000007</v>
      </c>
    </row>
    <row r="18" spans="1:15" x14ac:dyDescent="0.25">
      <c r="A18" s="152" t="s">
        <v>42</v>
      </c>
      <c r="B18" s="840" t="s">
        <v>766</v>
      </c>
      <c r="C18" s="364"/>
      <c r="D18" s="1085">
        <v>201</v>
      </c>
      <c r="E18" s="364"/>
      <c r="F18" s="364"/>
      <c r="G18" s="364"/>
      <c r="H18" s="472"/>
      <c r="I18" s="364"/>
      <c r="J18" s="364"/>
      <c r="K18" s="364"/>
      <c r="L18" s="473">
        <v>191</v>
      </c>
      <c r="M18" s="474">
        <v>155.28514300000001</v>
      </c>
      <c r="N18" s="475"/>
      <c r="O18" s="277">
        <f t="shared" si="6"/>
        <v>35.714856999999995</v>
      </c>
    </row>
    <row r="19" spans="1:15" x14ac:dyDescent="0.25">
      <c r="A19" s="152" t="s">
        <v>118</v>
      </c>
      <c r="B19" s="840" t="s">
        <v>767</v>
      </c>
      <c r="C19" s="364"/>
      <c r="D19" s="1085">
        <v>373</v>
      </c>
      <c r="E19" s="364"/>
      <c r="F19" s="364"/>
      <c r="G19" s="364"/>
      <c r="H19" s="472"/>
      <c r="I19" s="364"/>
      <c r="J19" s="364"/>
      <c r="K19" s="364"/>
      <c r="L19" s="473">
        <v>355</v>
      </c>
      <c r="M19" s="474">
        <v>278.17936900000001</v>
      </c>
      <c r="N19" s="475"/>
      <c r="O19" s="277">
        <f t="shared" si="6"/>
        <v>76.820630999999992</v>
      </c>
    </row>
    <row r="20" spans="1:15" x14ac:dyDescent="0.25">
      <c r="A20" s="152" t="s">
        <v>120</v>
      </c>
      <c r="B20" s="840" t="s">
        <v>768</v>
      </c>
      <c r="C20" s="364"/>
      <c r="D20" s="1085">
        <v>201</v>
      </c>
      <c r="E20" s="364"/>
      <c r="F20" s="364"/>
      <c r="G20" s="364"/>
      <c r="H20" s="472"/>
      <c r="I20" s="364"/>
      <c r="J20" s="364"/>
      <c r="K20" s="364"/>
      <c r="L20" s="473">
        <v>191</v>
      </c>
      <c r="M20" s="474">
        <v>154.62525400000001</v>
      </c>
      <c r="N20" s="475"/>
      <c r="O20" s="277">
        <f t="shared" si="6"/>
        <v>36.374745999999988</v>
      </c>
    </row>
    <row r="21" spans="1:15" x14ac:dyDescent="0.25">
      <c r="A21" s="476" t="s">
        <v>122</v>
      </c>
      <c r="B21" s="841" t="s">
        <v>763</v>
      </c>
      <c r="C21" s="370"/>
      <c r="D21" s="1082">
        <v>371.20000000000005</v>
      </c>
      <c r="E21" s="370"/>
      <c r="F21" s="370"/>
      <c r="G21" s="370"/>
      <c r="H21" s="477"/>
      <c r="I21" s="370"/>
      <c r="J21" s="370"/>
      <c r="K21" s="370"/>
      <c r="L21" s="478">
        <v>212</v>
      </c>
      <c r="M21" s="479">
        <v>207</v>
      </c>
      <c r="N21" s="480"/>
      <c r="O21" s="277">
        <f t="shared" si="6"/>
        <v>5</v>
      </c>
    </row>
    <row r="22" spans="1:15" x14ac:dyDescent="0.25">
      <c r="A22" s="394">
        <v>2</v>
      </c>
      <c r="B22" s="246" t="s">
        <v>683</v>
      </c>
      <c r="C22" s="287"/>
      <c r="D22" s="1086"/>
      <c r="E22" s="287"/>
      <c r="F22" s="287"/>
      <c r="G22" s="287"/>
      <c r="H22" s="340"/>
      <c r="I22" s="287"/>
      <c r="J22" s="287"/>
      <c r="K22" s="287"/>
      <c r="L22" s="404">
        <f>SUM(L23:L31)</f>
        <v>101</v>
      </c>
      <c r="M22" s="397">
        <f>SUM(M23:M31)</f>
        <v>57</v>
      </c>
      <c r="N22" s="403"/>
      <c r="O22" s="277">
        <f t="shared" si="6"/>
        <v>44</v>
      </c>
    </row>
    <row r="23" spans="1:15" ht="16.5" customHeight="1" x14ac:dyDescent="0.25">
      <c r="A23" s="466" t="s">
        <v>43</v>
      </c>
      <c r="B23" s="839" t="s">
        <v>761</v>
      </c>
      <c r="C23" s="481"/>
      <c r="D23" s="482"/>
      <c r="E23" s="481"/>
      <c r="F23" s="481"/>
      <c r="G23" s="481"/>
      <c r="H23" s="483"/>
      <c r="I23" s="481"/>
      <c r="J23" s="481"/>
      <c r="K23" s="481"/>
      <c r="L23" s="484">
        <v>5</v>
      </c>
      <c r="M23" s="485"/>
      <c r="N23" s="486"/>
      <c r="O23" s="277">
        <f t="shared" si="6"/>
        <v>5</v>
      </c>
    </row>
    <row r="24" spans="1:15" x14ac:dyDescent="0.25">
      <c r="A24" s="152" t="s">
        <v>44</v>
      </c>
      <c r="B24" s="840" t="s">
        <v>781</v>
      </c>
      <c r="C24" s="317"/>
      <c r="D24" s="487"/>
      <c r="E24" s="317"/>
      <c r="F24" s="317"/>
      <c r="G24" s="317"/>
      <c r="H24" s="488"/>
      <c r="I24" s="317"/>
      <c r="J24" s="317"/>
      <c r="K24" s="317"/>
      <c r="L24" s="489">
        <v>20</v>
      </c>
      <c r="M24" s="490"/>
      <c r="N24" s="491"/>
      <c r="O24" s="277">
        <f t="shared" si="6"/>
        <v>20</v>
      </c>
    </row>
    <row r="25" spans="1:15" x14ac:dyDescent="0.25">
      <c r="A25" s="152" t="s">
        <v>51</v>
      </c>
      <c r="B25" s="840" t="s">
        <v>762</v>
      </c>
      <c r="C25" s="317"/>
      <c r="D25" s="487"/>
      <c r="E25" s="317"/>
      <c r="F25" s="317"/>
      <c r="G25" s="317"/>
      <c r="H25" s="488"/>
      <c r="I25" s="317"/>
      <c r="J25" s="317"/>
      <c r="K25" s="317"/>
      <c r="L25" s="489">
        <v>13</v>
      </c>
      <c r="M25" s="492">
        <v>9</v>
      </c>
      <c r="N25" s="491"/>
      <c r="O25" s="277">
        <f t="shared" si="6"/>
        <v>4</v>
      </c>
    </row>
    <row r="26" spans="1:15" x14ac:dyDescent="0.25">
      <c r="A26" s="152" t="s">
        <v>130</v>
      </c>
      <c r="B26" s="840" t="s">
        <v>764</v>
      </c>
      <c r="C26" s="317"/>
      <c r="D26" s="487"/>
      <c r="E26" s="317"/>
      <c r="F26" s="317"/>
      <c r="G26" s="317"/>
      <c r="H26" s="488"/>
      <c r="I26" s="317"/>
      <c r="J26" s="317"/>
      <c r="K26" s="317"/>
      <c r="L26" s="489">
        <v>6</v>
      </c>
      <c r="M26" s="492"/>
      <c r="N26" s="491"/>
      <c r="O26" s="277">
        <f t="shared" si="6"/>
        <v>6</v>
      </c>
    </row>
    <row r="27" spans="1:15" x14ac:dyDescent="0.25">
      <c r="A27" s="152" t="s">
        <v>131</v>
      </c>
      <c r="B27" s="840" t="s">
        <v>765</v>
      </c>
      <c r="C27" s="317"/>
      <c r="D27" s="487"/>
      <c r="E27" s="317"/>
      <c r="F27" s="317"/>
      <c r="G27" s="317"/>
      <c r="H27" s="488"/>
      <c r="I27" s="317"/>
      <c r="J27" s="317"/>
      <c r="K27" s="317"/>
      <c r="L27" s="489">
        <v>10</v>
      </c>
      <c r="M27" s="492">
        <v>10</v>
      </c>
      <c r="N27" s="491"/>
      <c r="O27" s="277">
        <f t="shared" si="6"/>
        <v>0</v>
      </c>
    </row>
    <row r="28" spans="1:15" x14ac:dyDescent="0.25">
      <c r="A28" s="152" t="s">
        <v>132</v>
      </c>
      <c r="B28" s="840" t="s">
        <v>766</v>
      </c>
      <c r="C28" s="317"/>
      <c r="D28" s="487"/>
      <c r="E28" s="317"/>
      <c r="F28" s="317"/>
      <c r="G28" s="317"/>
      <c r="H28" s="488"/>
      <c r="I28" s="317"/>
      <c r="J28" s="317"/>
      <c r="K28" s="317"/>
      <c r="L28" s="489">
        <v>10</v>
      </c>
      <c r="M28" s="492">
        <v>10</v>
      </c>
      <c r="N28" s="491"/>
      <c r="O28" s="277">
        <f t="shared" si="6"/>
        <v>0</v>
      </c>
    </row>
    <row r="29" spans="1:15" x14ac:dyDescent="0.25">
      <c r="A29" s="152" t="s">
        <v>133</v>
      </c>
      <c r="B29" s="840" t="s">
        <v>767</v>
      </c>
      <c r="C29" s="317"/>
      <c r="D29" s="487"/>
      <c r="E29" s="317"/>
      <c r="F29" s="317"/>
      <c r="G29" s="317"/>
      <c r="H29" s="488"/>
      <c r="I29" s="317"/>
      <c r="J29" s="317"/>
      <c r="K29" s="317"/>
      <c r="L29" s="489">
        <v>18</v>
      </c>
      <c r="M29" s="492">
        <v>18</v>
      </c>
      <c r="N29" s="491"/>
      <c r="O29" s="277">
        <f t="shared" si="6"/>
        <v>0</v>
      </c>
    </row>
    <row r="30" spans="1:15" x14ac:dyDescent="0.25">
      <c r="A30" s="152" t="s">
        <v>134</v>
      </c>
      <c r="B30" s="840" t="s">
        <v>768</v>
      </c>
      <c r="C30" s="317"/>
      <c r="D30" s="487"/>
      <c r="E30" s="317"/>
      <c r="F30" s="317"/>
      <c r="G30" s="317"/>
      <c r="H30" s="488"/>
      <c r="I30" s="317"/>
      <c r="J30" s="317"/>
      <c r="K30" s="317"/>
      <c r="L30" s="489">
        <v>10</v>
      </c>
      <c r="M30" s="492">
        <v>10</v>
      </c>
      <c r="N30" s="491"/>
      <c r="O30" s="277">
        <f t="shared" si="6"/>
        <v>0</v>
      </c>
    </row>
    <row r="31" spans="1:15" x14ac:dyDescent="0.25">
      <c r="A31" s="476" t="s">
        <v>135</v>
      </c>
      <c r="B31" s="841" t="s">
        <v>763</v>
      </c>
      <c r="C31" s="363"/>
      <c r="D31" s="493"/>
      <c r="E31" s="363"/>
      <c r="F31" s="363"/>
      <c r="G31" s="363"/>
      <c r="H31" s="494"/>
      <c r="I31" s="363"/>
      <c r="J31" s="363"/>
      <c r="K31" s="363"/>
      <c r="L31" s="495">
        <v>9</v>
      </c>
      <c r="M31" s="496"/>
      <c r="N31" s="497"/>
      <c r="O31" s="277">
        <f t="shared" si="6"/>
        <v>9</v>
      </c>
    </row>
    <row r="32" spans="1:15" s="36" customFormat="1" x14ac:dyDescent="0.25">
      <c r="A32" s="169" t="s">
        <v>4</v>
      </c>
      <c r="B32" s="246" t="s">
        <v>701</v>
      </c>
      <c r="C32" s="287"/>
      <c r="D32" s="401"/>
      <c r="E32" s="287"/>
      <c r="F32" s="287"/>
      <c r="G32" s="287"/>
      <c r="H32" s="340"/>
      <c r="I32" s="287"/>
      <c r="J32" s="287"/>
      <c r="K32" s="287"/>
      <c r="L32" s="404">
        <f>L33</f>
        <v>0</v>
      </c>
      <c r="M32" s="465">
        <f>M33</f>
        <v>35.519641</v>
      </c>
      <c r="N32" s="403"/>
      <c r="O32" s="277">
        <f t="shared" si="6"/>
        <v>-35.519641</v>
      </c>
    </row>
    <row r="33" spans="1:15" x14ac:dyDescent="0.25">
      <c r="A33" s="400">
        <v>1</v>
      </c>
      <c r="B33" s="405" t="s">
        <v>702</v>
      </c>
      <c r="C33" s="287"/>
      <c r="D33" s="401">
        <v>200</v>
      </c>
      <c r="E33" s="287"/>
      <c r="F33" s="287"/>
      <c r="G33" s="287"/>
      <c r="H33" s="340"/>
      <c r="I33" s="287"/>
      <c r="J33" s="287"/>
      <c r="K33" s="287"/>
      <c r="L33" s="402"/>
      <c r="M33" s="464">
        <v>35.519641</v>
      </c>
      <c r="N33" s="403"/>
      <c r="O33" s="277">
        <f>D33-M33</f>
        <v>164.48035899999999</v>
      </c>
    </row>
  </sheetData>
  <mergeCells count="9">
    <mergeCell ref="M1:N1"/>
    <mergeCell ref="A2:N2"/>
    <mergeCell ref="A3:M3"/>
    <mergeCell ref="J5:J7"/>
    <mergeCell ref="K5:K7"/>
    <mergeCell ref="L5:L7"/>
    <mergeCell ref="M5:M7"/>
    <mergeCell ref="N5:N7"/>
    <mergeCell ref="M4:N4"/>
  </mergeCells>
  <phoneticPr fontId="70" type="noConversion"/>
  <pageMargins left="0.31496062992125984" right="0.31496062992125984" top="0.55118110236220474" bottom="0.55118110236220474" header="0.31496062992125984" footer="0.31496062992125984"/>
  <pageSetup paperSize="9" scale="85" firstPageNumber="37" orientation="landscape" useFirstPageNumber="1" verticalDpi="0" r:id="rId1"/>
  <headerFooter>
    <oddHeader>&amp;RBiểu 5.14.2</oddHeader>
    <oddFoote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EAB1F-E94D-4B8F-8786-056459BB16A2}">
  <dimension ref="A1:Q38"/>
  <sheetViews>
    <sheetView zoomScaleNormal="100" workbookViewId="0">
      <selection activeCell="C7" sqref="C7"/>
    </sheetView>
  </sheetViews>
  <sheetFormatPr defaultColWidth="9.140625" defaultRowHeight="15.75" x14ac:dyDescent="0.25"/>
  <cols>
    <col min="1" max="1" width="6.85546875" style="41" customWidth="1"/>
    <col min="2" max="2" width="73.140625" style="41" customWidth="1"/>
    <col min="3" max="3" width="20.42578125" style="880" customWidth="1"/>
    <col min="4" max="4" width="19.5703125" style="954" customWidth="1"/>
    <col min="5" max="5" width="12.28515625" style="41" hidden="1" customWidth="1"/>
    <col min="6" max="6" width="7.5703125" style="41" hidden="1" customWidth="1"/>
    <col min="7" max="7" width="11.28515625" style="41" hidden="1" customWidth="1"/>
    <col min="8" max="8" width="1.140625" style="112" hidden="1" customWidth="1"/>
    <col min="9" max="9" width="6.5703125" style="41" hidden="1" customWidth="1"/>
    <col min="10" max="10" width="11.85546875" style="41" hidden="1" customWidth="1"/>
    <col min="11" max="11" width="11.28515625" style="41" hidden="1" customWidth="1"/>
    <col min="12" max="12" width="17.5703125" style="41" customWidth="1"/>
    <col min="13" max="13" width="16.140625" style="1385" customWidth="1"/>
    <col min="14" max="14" width="11.5703125" style="1386" customWidth="1"/>
    <col min="15" max="15" width="17.5703125" style="41" hidden="1" customWidth="1"/>
    <col min="16" max="16" width="12.42578125" style="41" hidden="1" customWidth="1"/>
    <col min="17" max="17" width="0" style="41" hidden="1" customWidth="1"/>
    <col min="18" max="16384" width="9.140625" style="41"/>
  </cols>
  <sheetData>
    <row r="1" spans="1:16" x14ac:dyDescent="0.25">
      <c r="A1" s="193" t="s">
        <v>1186</v>
      </c>
      <c r="O1" s="36" t="s">
        <v>973</v>
      </c>
    </row>
    <row r="2" spans="1:16" ht="20.25" customHeight="1" x14ac:dyDescent="0.25">
      <c r="A2" s="3161" t="s">
        <v>1469</v>
      </c>
      <c r="B2" s="3161"/>
      <c r="C2" s="3161"/>
      <c r="D2" s="3161"/>
      <c r="E2" s="3161"/>
      <c r="F2" s="3161"/>
      <c r="G2" s="3161"/>
      <c r="H2" s="3161"/>
      <c r="I2" s="3161"/>
      <c r="J2" s="3161"/>
      <c r="K2" s="3161"/>
      <c r="L2" s="3161"/>
      <c r="M2" s="3161"/>
      <c r="N2" s="3161"/>
    </row>
    <row r="3" spans="1:16" x14ac:dyDescent="0.25">
      <c r="L3" s="1387"/>
      <c r="M3" s="3220" t="s">
        <v>1187</v>
      </c>
      <c r="N3" s="3220"/>
    </row>
    <row r="4" spans="1:16" ht="27.75" customHeight="1" x14ac:dyDescent="0.25">
      <c r="A4" s="3163" t="s">
        <v>0</v>
      </c>
      <c r="B4" s="3163" t="s">
        <v>54</v>
      </c>
      <c r="C4" s="879" t="s">
        <v>478</v>
      </c>
      <c r="D4" s="879"/>
      <c r="E4" s="1388"/>
      <c r="F4" s="1388"/>
      <c r="G4" s="1388"/>
      <c r="H4" s="1388"/>
      <c r="I4" s="1388"/>
      <c r="J4" s="3221" t="s">
        <v>769</v>
      </c>
      <c r="K4" s="3221" t="s">
        <v>770</v>
      </c>
      <c r="L4" s="3221" t="s">
        <v>1099</v>
      </c>
      <c r="M4" s="3221" t="s">
        <v>1100</v>
      </c>
      <c r="N4" s="3222" t="s">
        <v>414</v>
      </c>
    </row>
    <row r="5" spans="1:16" s="42" customFormat="1" ht="47.25" x14ac:dyDescent="0.2">
      <c r="A5" s="3164"/>
      <c r="B5" s="3164"/>
      <c r="C5" s="879" t="s">
        <v>479</v>
      </c>
      <c r="D5" s="879" t="s">
        <v>480</v>
      </c>
      <c r="E5" s="331"/>
      <c r="F5" s="331"/>
      <c r="G5" s="331"/>
      <c r="H5" s="331"/>
      <c r="I5" s="331"/>
      <c r="J5" s="3221"/>
      <c r="K5" s="3221"/>
      <c r="L5" s="3221"/>
      <c r="M5" s="3221"/>
      <c r="N5" s="3222"/>
    </row>
    <row r="6" spans="1:16" ht="31.5" x14ac:dyDescent="0.25">
      <c r="A6" s="1388"/>
      <c r="B6" s="1388"/>
      <c r="C6" s="879"/>
      <c r="D6" s="885" t="s">
        <v>56</v>
      </c>
      <c r="E6" s="1388" t="s">
        <v>481</v>
      </c>
      <c r="F6" s="1388"/>
      <c r="G6" s="1388"/>
      <c r="H6" s="1388"/>
      <c r="I6" s="1388"/>
      <c r="J6" s="3221"/>
      <c r="K6" s="3221"/>
      <c r="L6" s="3221"/>
      <c r="M6" s="3221"/>
      <c r="N6" s="3222"/>
    </row>
    <row r="7" spans="1:16" x14ac:dyDescent="0.25">
      <c r="A7" s="1388" t="s">
        <v>3</v>
      </c>
      <c r="B7" s="1388" t="s">
        <v>4</v>
      </c>
      <c r="C7" s="879">
        <v>1</v>
      </c>
      <c r="D7" s="1390">
        <v>2</v>
      </c>
      <c r="E7" s="1391">
        <v>6</v>
      </c>
      <c r="F7" s="1391">
        <v>7</v>
      </c>
      <c r="G7" s="1391">
        <v>8</v>
      </c>
      <c r="H7" s="1391">
        <v>3</v>
      </c>
      <c r="I7" s="1388">
        <v>4</v>
      </c>
      <c r="J7" s="1388">
        <v>5</v>
      </c>
      <c r="K7" s="1388">
        <v>6</v>
      </c>
      <c r="L7" s="1388">
        <v>7</v>
      </c>
      <c r="M7" s="1388">
        <v>8</v>
      </c>
      <c r="N7" s="1389" t="s">
        <v>607</v>
      </c>
    </row>
    <row r="8" spans="1:16" s="193" customFormat="1" x14ac:dyDescent="0.2">
      <c r="A8" s="1392"/>
      <c r="B8" s="1388" t="s">
        <v>29</v>
      </c>
      <c r="C8" s="879"/>
      <c r="D8" s="1393">
        <f t="shared" ref="D8:K8" si="0">D9+D19</f>
        <v>3231301.9010000001</v>
      </c>
      <c r="E8" s="1393">
        <f t="shared" si="0"/>
        <v>0</v>
      </c>
      <c r="F8" s="1393">
        <f t="shared" si="0"/>
        <v>0</v>
      </c>
      <c r="G8" s="1393">
        <f t="shared" si="0"/>
        <v>0</v>
      </c>
      <c r="H8" s="1393">
        <f t="shared" si="0"/>
        <v>0</v>
      </c>
      <c r="I8" s="1393">
        <f t="shared" si="0"/>
        <v>0</v>
      </c>
      <c r="J8" s="1393">
        <f t="shared" si="0"/>
        <v>0</v>
      </c>
      <c r="K8" s="1393">
        <f t="shared" si="0"/>
        <v>0</v>
      </c>
      <c r="L8" s="1393">
        <f>L9+L19</f>
        <v>343685.27100000001</v>
      </c>
      <c r="M8" s="1393">
        <f>M9+M19</f>
        <v>286784.97399999999</v>
      </c>
      <c r="N8" s="1394">
        <f>M8/L8*100</f>
        <v>83.444068803286015</v>
      </c>
      <c r="O8" s="773"/>
    </row>
    <row r="9" spans="1:16" s="193" customFormat="1" x14ac:dyDescent="0.2">
      <c r="A9" s="207" t="s">
        <v>5</v>
      </c>
      <c r="B9" s="393" t="s">
        <v>1439</v>
      </c>
      <c r="C9" s="1395"/>
      <c r="D9" s="1396">
        <f t="shared" ref="D9:K9" si="1">SUM(D10,D16)</f>
        <v>1734005.233</v>
      </c>
      <c r="E9" s="1397">
        <f t="shared" si="1"/>
        <v>0</v>
      </c>
      <c r="F9" s="1397">
        <f t="shared" si="1"/>
        <v>0</v>
      </c>
      <c r="G9" s="1397">
        <f t="shared" si="1"/>
        <v>0</v>
      </c>
      <c r="H9" s="1397">
        <f t="shared" si="1"/>
        <v>0</v>
      </c>
      <c r="I9" s="1397">
        <f t="shared" si="1"/>
        <v>0</v>
      </c>
      <c r="J9" s="1397">
        <f t="shared" si="1"/>
        <v>0</v>
      </c>
      <c r="K9" s="1397">
        <f t="shared" si="1"/>
        <v>0</v>
      </c>
      <c r="L9" s="1398">
        <f>L10+L16</f>
        <v>59400</v>
      </c>
      <c r="M9" s="1398">
        <f>M10+M16</f>
        <v>40550.830999999998</v>
      </c>
      <c r="N9" s="1399">
        <f t="shared" ref="N9:N29" si="2">M9/L9*100</f>
        <v>68.267392255892261</v>
      </c>
    </row>
    <row r="10" spans="1:16" x14ac:dyDescent="0.25">
      <c r="A10" s="1400">
        <v>1</v>
      </c>
      <c r="B10" s="393" t="s">
        <v>1470</v>
      </c>
      <c r="C10" s="1401"/>
      <c r="D10" s="1396">
        <f>SUM(D11:D15)</f>
        <v>1013419.128</v>
      </c>
      <c r="E10" s="1402"/>
      <c r="F10" s="1402"/>
      <c r="G10" s="1402"/>
      <c r="H10" s="1402"/>
      <c r="I10" s="1402"/>
      <c r="J10" s="1402"/>
      <c r="K10" s="1402"/>
      <c r="L10" s="1398">
        <f>L11+L12+L13+L14+L15</f>
        <v>57400</v>
      </c>
      <c r="M10" s="1398">
        <f>M11+M12+M13+M14+M15</f>
        <v>40550.830999999998</v>
      </c>
      <c r="N10" s="1399">
        <f t="shared" si="2"/>
        <v>70.646047038327524</v>
      </c>
      <c r="O10" s="1088">
        <f>M9+M19</f>
        <v>286784.97399999999</v>
      </c>
    </row>
    <row r="11" spans="1:16" x14ac:dyDescent="0.25">
      <c r="A11" s="400" t="s">
        <v>7</v>
      </c>
      <c r="B11" s="1403" t="s">
        <v>768</v>
      </c>
      <c r="C11" s="1401"/>
      <c r="D11" s="1404"/>
      <c r="E11" s="1402"/>
      <c r="F11" s="1402"/>
      <c r="G11" s="1402"/>
      <c r="H11" s="1402"/>
      <c r="I11" s="1402"/>
      <c r="J11" s="1402"/>
      <c r="K11" s="1402"/>
      <c r="L11" s="1405">
        <v>8800</v>
      </c>
      <c r="M11" s="1405">
        <v>4592.665</v>
      </c>
      <c r="N11" s="1406">
        <f t="shared" si="2"/>
        <v>52.189375000000005</v>
      </c>
      <c r="O11" s="277">
        <f>M11+M21</f>
        <v>40967.411</v>
      </c>
      <c r="P11" s="431">
        <f>L21+L11</f>
        <v>45174.745999999999</v>
      </c>
    </row>
    <row r="12" spans="1:16" ht="31.5" x14ac:dyDescent="0.25">
      <c r="A12" s="400" t="s">
        <v>38</v>
      </c>
      <c r="B12" s="1403" t="s">
        <v>1471</v>
      </c>
      <c r="C12" s="1401"/>
      <c r="D12" s="1404"/>
      <c r="E12" s="1402"/>
      <c r="F12" s="1402"/>
      <c r="G12" s="1402"/>
      <c r="H12" s="1402"/>
      <c r="I12" s="1402"/>
      <c r="J12" s="1402"/>
      <c r="K12" s="1402"/>
      <c r="L12" s="1405">
        <v>10900</v>
      </c>
      <c r="M12" s="1405">
        <v>6642.2860000000001</v>
      </c>
      <c r="N12" s="1406">
        <f t="shared" si="2"/>
        <v>60.938403669724771</v>
      </c>
      <c r="O12" s="277">
        <f>L12+L22</f>
        <v>45384.665000000001</v>
      </c>
    </row>
    <row r="13" spans="1:16" ht="31.5" x14ac:dyDescent="0.25">
      <c r="A13" s="400" t="s">
        <v>39</v>
      </c>
      <c r="B13" s="1403" t="s">
        <v>1472</v>
      </c>
      <c r="C13" s="1407" t="s">
        <v>1473</v>
      </c>
      <c r="D13" s="1408">
        <v>525045.44700000004</v>
      </c>
      <c r="E13" s="1402"/>
      <c r="F13" s="1402"/>
      <c r="G13" s="1402"/>
      <c r="H13" s="1402"/>
      <c r="I13" s="1402"/>
      <c r="J13" s="1402"/>
      <c r="K13" s="1402"/>
      <c r="L13" s="1405">
        <v>11800</v>
      </c>
      <c r="M13" s="1405">
        <v>7729.7780000000002</v>
      </c>
      <c r="N13" s="1406">
        <f t="shared" si="2"/>
        <v>65.506593220338985</v>
      </c>
      <c r="O13" s="277"/>
    </row>
    <row r="14" spans="1:16" ht="31.5" x14ac:dyDescent="0.25">
      <c r="A14" s="400" t="s">
        <v>40</v>
      </c>
      <c r="B14" s="1403" t="s">
        <v>1474</v>
      </c>
      <c r="C14" s="1409" t="s">
        <v>1475</v>
      </c>
      <c r="D14" s="1408">
        <v>195540.658</v>
      </c>
      <c r="E14" s="1402"/>
      <c r="F14" s="1402"/>
      <c r="G14" s="1402"/>
      <c r="H14" s="1402"/>
      <c r="I14" s="1402"/>
      <c r="J14" s="1402"/>
      <c r="K14" s="1402"/>
      <c r="L14" s="1405">
        <v>11700</v>
      </c>
      <c r="M14" s="1405">
        <v>11700</v>
      </c>
      <c r="N14" s="1406">
        <f t="shared" si="2"/>
        <v>100</v>
      </c>
      <c r="O14" s="277">
        <f>L14+L18+L24+L28</f>
        <v>33239.974000000002</v>
      </c>
    </row>
    <row r="15" spans="1:16" ht="31.5" x14ac:dyDescent="0.25">
      <c r="A15" s="400" t="s">
        <v>41</v>
      </c>
      <c r="B15" s="1403" t="s">
        <v>1476</v>
      </c>
      <c r="C15" s="1407" t="s">
        <v>1477</v>
      </c>
      <c r="D15" s="1408">
        <v>292833.02299999999</v>
      </c>
      <c r="E15" s="1402"/>
      <c r="F15" s="1402"/>
      <c r="G15" s="1402"/>
      <c r="H15" s="1402"/>
      <c r="I15" s="1402"/>
      <c r="J15" s="1402"/>
      <c r="K15" s="1402"/>
      <c r="L15" s="1405">
        <v>14200</v>
      </c>
      <c r="M15" s="1405">
        <v>9886.1020000000008</v>
      </c>
      <c r="N15" s="1406">
        <f t="shared" si="2"/>
        <v>69.620436619718319</v>
      </c>
      <c r="O15" s="277">
        <f>L26+L15</f>
        <v>49914.857000000004</v>
      </c>
    </row>
    <row r="16" spans="1:16" x14ac:dyDescent="0.25">
      <c r="A16" s="207">
        <v>2</v>
      </c>
      <c r="B16" s="393" t="s">
        <v>1478</v>
      </c>
      <c r="C16" s="1410"/>
      <c r="D16" s="1411">
        <f t="shared" ref="D16:K16" si="3">D17+D18</f>
        <v>720586.10499999998</v>
      </c>
      <c r="E16" s="1411">
        <f t="shared" si="3"/>
        <v>0</v>
      </c>
      <c r="F16" s="1411">
        <f t="shared" si="3"/>
        <v>0</v>
      </c>
      <c r="G16" s="1411">
        <f t="shared" si="3"/>
        <v>0</v>
      </c>
      <c r="H16" s="1411">
        <f t="shared" si="3"/>
        <v>0</v>
      </c>
      <c r="I16" s="1411">
        <f t="shared" si="3"/>
        <v>0</v>
      </c>
      <c r="J16" s="1411">
        <f t="shared" si="3"/>
        <v>0</v>
      </c>
      <c r="K16" s="1411">
        <f t="shared" si="3"/>
        <v>0</v>
      </c>
      <c r="L16" s="1411">
        <f>L17+L18</f>
        <v>2000</v>
      </c>
      <c r="M16" s="1411">
        <f>M17+M18</f>
        <v>0</v>
      </c>
      <c r="N16" s="1399">
        <f t="shared" si="2"/>
        <v>0</v>
      </c>
      <c r="O16" s="277"/>
    </row>
    <row r="17" spans="1:17" ht="31.5" x14ac:dyDescent="0.25">
      <c r="A17" s="1412" t="s">
        <v>43</v>
      </c>
      <c r="B17" s="1403" t="s">
        <v>1472</v>
      </c>
      <c r="C17" s="1413" t="s">
        <v>1473</v>
      </c>
      <c r="D17" s="1408">
        <v>525045.44700000004</v>
      </c>
      <c r="E17" s="1414"/>
      <c r="F17" s="1414"/>
      <c r="G17" s="1414"/>
      <c r="H17" s="1414"/>
      <c r="I17" s="1414"/>
      <c r="J17" s="1414"/>
      <c r="K17" s="1414"/>
      <c r="L17" s="1415">
        <v>1000</v>
      </c>
      <c r="M17" s="1416"/>
      <c r="N17" s="1417">
        <f t="shared" si="2"/>
        <v>0</v>
      </c>
      <c r="O17" s="277"/>
    </row>
    <row r="18" spans="1:17" ht="31.5" x14ac:dyDescent="0.25">
      <c r="A18" s="1412" t="s">
        <v>44</v>
      </c>
      <c r="B18" s="1403" t="s">
        <v>1474</v>
      </c>
      <c r="C18" s="1413" t="s">
        <v>1475</v>
      </c>
      <c r="D18" s="1408">
        <v>195540.658</v>
      </c>
      <c r="E18" s="1414"/>
      <c r="F18" s="1414"/>
      <c r="G18" s="1414"/>
      <c r="H18" s="1414"/>
      <c r="I18" s="1414"/>
      <c r="J18" s="1414"/>
      <c r="K18" s="1414"/>
      <c r="L18" s="1415">
        <v>1000</v>
      </c>
      <c r="M18" s="1418"/>
      <c r="N18" s="1417">
        <f t="shared" si="2"/>
        <v>0</v>
      </c>
      <c r="O18" s="277">
        <f>M14+M24+M28</f>
        <v>30307.134000000002</v>
      </c>
    </row>
    <row r="19" spans="1:17" s="36" customFormat="1" ht="31.5" x14ac:dyDescent="0.25">
      <c r="A19" s="1360" t="s">
        <v>11</v>
      </c>
      <c r="B19" s="1361" t="s">
        <v>1452</v>
      </c>
      <c r="C19" s="1410"/>
      <c r="D19" s="1419">
        <f t="shared" ref="D19:K19" si="4">D20+D27</f>
        <v>1497296.6680000001</v>
      </c>
      <c r="E19" s="1419">
        <f t="shared" si="4"/>
        <v>0</v>
      </c>
      <c r="F19" s="1419">
        <f t="shared" si="4"/>
        <v>0</v>
      </c>
      <c r="G19" s="1419">
        <f t="shared" si="4"/>
        <v>0</v>
      </c>
      <c r="H19" s="1419">
        <f t="shared" si="4"/>
        <v>0</v>
      </c>
      <c r="I19" s="1419">
        <f t="shared" si="4"/>
        <v>0</v>
      </c>
      <c r="J19" s="1419">
        <f t="shared" si="4"/>
        <v>0</v>
      </c>
      <c r="K19" s="1419">
        <f t="shared" si="4"/>
        <v>0</v>
      </c>
      <c r="L19" s="1419">
        <f>L20+L27</f>
        <v>284285.27100000001</v>
      </c>
      <c r="M19" s="1420">
        <f>M20+M27</f>
        <v>246234.14300000001</v>
      </c>
      <c r="N19" s="1417">
        <f t="shared" si="2"/>
        <v>86.615160234594086</v>
      </c>
      <c r="O19" s="277"/>
    </row>
    <row r="20" spans="1:17" x14ac:dyDescent="0.25">
      <c r="A20" s="1400">
        <v>1</v>
      </c>
      <c r="B20" s="393" t="s">
        <v>1470</v>
      </c>
      <c r="C20" s="1410"/>
      <c r="D20" s="1419">
        <f t="shared" ref="D20:K20" si="5">SUM(D21:D26)</f>
        <v>1497296.6680000001</v>
      </c>
      <c r="E20" s="1419">
        <f t="shared" si="5"/>
        <v>0</v>
      </c>
      <c r="F20" s="1419">
        <f t="shared" si="5"/>
        <v>0</v>
      </c>
      <c r="G20" s="1419">
        <f t="shared" si="5"/>
        <v>0</v>
      </c>
      <c r="H20" s="1419">
        <f t="shared" si="5"/>
        <v>0</v>
      </c>
      <c r="I20" s="1419">
        <f t="shared" si="5"/>
        <v>0</v>
      </c>
      <c r="J20" s="1419">
        <f t="shared" si="5"/>
        <v>0</v>
      </c>
      <c r="K20" s="1419">
        <f t="shared" si="5"/>
        <v>0</v>
      </c>
      <c r="L20" s="1419">
        <f>SUM(L21:L26)</f>
        <v>268285.27100000001</v>
      </c>
      <c r="M20" s="1420">
        <f>SUM(M21:M26)</f>
        <v>242166.98300000001</v>
      </c>
      <c r="N20" s="1417">
        <f t="shared" si="2"/>
        <v>90.264732796307698</v>
      </c>
      <c r="O20" s="277"/>
    </row>
    <row r="21" spans="1:17" x14ac:dyDescent="0.25">
      <c r="A21" s="400" t="s">
        <v>7</v>
      </c>
      <c r="B21" s="1403" t="s">
        <v>768</v>
      </c>
      <c r="C21" s="1410"/>
      <c r="D21" s="1408"/>
      <c r="E21" s="1414"/>
      <c r="F21" s="1414"/>
      <c r="G21" s="1414"/>
      <c r="H21" s="1414"/>
      <c r="I21" s="1414"/>
      <c r="J21" s="1414"/>
      <c r="K21" s="1414"/>
      <c r="L21" s="1421">
        <v>36374.745999999999</v>
      </c>
      <c r="M21" s="1422">
        <f>L21</f>
        <v>36374.745999999999</v>
      </c>
      <c r="N21" s="1423">
        <f t="shared" si="2"/>
        <v>100</v>
      </c>
      <c r="O21" s="277"/>
    </row>
    <row r="22" spans="1:17" ht="31.5" x14ac:dyDescent="0.25">
      <c r="A22" s="400" t="s">
        <v>38</v>
      </c>
      <c r="B22" s="1403" t="s">
        <v>1471</v>
      </c>
      <c r="C22" s="1413" t="s">
        <v>1479</v>
      </c>
      <c r="D22" s="1424">
        <v>288336.88199999998</v>
      </c>
      <c r="E22" s="1414"/>
      <c r="F22" s="1414"/>
      <c r="G22" s="1414"/>
      <c r="H22" s="1414"/>
      <c r="I22" s="1414"/>
      <c r="J22" s="1414"/>
      <c r="K22" s="1414"/>
      <c r="L22" s="1421">
        <v>34484.665000000001</v>
      </c>
      <c r="M22" s="1425">
        <v>34484.665000000001</v>
      </c>
      <c r="N22" s="1423">
        <f t="shared" si="2"/>
        <v>100</v>
      </c>
      <c r="O22" s="277"/>
    </row>
    <row r="23" spans="1:17" ht="31.5" x14ac:dyDescent="0.25">
      <c r="A23" s="400" t="s">
        <v>39</v>
      </c>
      <c r="B23" s="1403" t="s">
        <v>1472</v>
      </c>
      <c r="C23" s="1413" t="s">
        <v>1473</v>
      </c>
      <c r="D23" s="1408">
        <v>525045.44700000004</v>
      </c>
      <c r="E23" s="1414"/>
      <c r="F23" s="1414"/>
      <c r="G23" s="1414"/>
      <c r="H23" s="1414"/>
      <c r="I23" s="1414"/>
      <c r="J23" s="1414"/>
      <c r="K23" s="1414"/>
      <c r="L23" s="1421">
        <v>76820.630999999994</v>
      </c>
      <c r="M23" s="1422">
        <v>74044.842000000004</v>
      </c>
      <c r="N23" s="1423">
        <f t="shared" si="2"/>
        <v>96.386662067381366</v>
      </c>
      <c r="O23" s="277">
        <f>M23+M13</f>
        <v>81774.62000000001</v>
      </c>
    </row>
    <row r="24" spans="1:17" ht="31.5" x14ac:dyDescent="0.25">
      <c r="A24" s="1426" t="s">
        <v>40</v>
      </c>
      <c r="B24" s="1427" t="s">
        <v>1474</v>
      </c>
      <c r="C24" s="1413" t="s">
        <v>1475</v>
      </c>
      <c r="D24" s="1408">
        <v>195540.658</v>
      </c>
      <c r="E24" s="1414"/>
      <c r="F24" s="1414"/>
      <c r="G24" s="1414"/>
      <c r="H24" s="1414"/>
      <c r="I24" s="1414"/>
      <c r="J24" s="1414"/>
      <c r="K24" s="1414"/>
      <c r="L24" s="1421">
        <v>14539.974</v>
      </c>
      <c r="M24" s="1422">
        <f>L24</f>
        <v>14539.974</v>
      </c>
      <c r="N24" s="1423">
        <f t="shared" si="2"/>
        <v>100</v>
      </c>
      <c r="O24" s="277"/>
    </row>
    <row r="25" spans="1:17" ht="31.5" x14ac:dyDescent="0.25">
      <c r="A25" s="400" t="s">
        <v>41</v>
      </c>
      <c r="B25" s="1428" t="s">
        <v>1480</v>
      </c>
      <c r="C25" s="1413" t="s">
        <v>1475</v>
      </c>
      <c r="D25" s="1408">
        <v>195540.658</v>
      </c>
      <c r="E25" s="1414"/>
      <c r="F25" s="1414"/>
      <c r="G25" s="1414"/>
      <c r="H25" s="1414"/>
      <c r="I25" s="1414"/>
      <c r="J25" s="1414"/>
      <c r="K25" s="1414"/>
      <c r="L25" s="1415">
        <v>70350.398000000001</v>
      </c>
      <c r="M25" s="1422">
        <v>47007.898999999998</v>
      </c>
      <c r="N25" s="1423">
        <f t="shared" si="2"/>
        <v>66.819663195082413</v>
      </c>
      <c r="O25" s="277"/>
    </row>
    <row r="26" spans="1:17" ht="31.5" x14ac:dyDescent="0.25">
      <c r="A26" s="400" t="s">
        <v>42</v>
      </c>
      <c r="B26" s="1403" t="s">
        <v>1476</v>
      </c>
      <c r="C26" s="1413" t="s">
        <v>1477</v>
      </c>
      <c r="D26" s="1408">
        <v>292833.02299999999</v>
      </c>
      <c r="E26" s="1414"/>
      <c r="F26" s="1414"/>
      <c r="G26" s="1414"/>
      <c r="H26" s="1414"/>
      <c r="I26" s="1414"/>
      <c r="J26" s="1414"/>
      <c r="K26" s="1414"/>
      <c r="L26" s="1414">
        <v>35714.857000000004</v>
      </c>
      <c r="M26" s="1422">
        <f>L26</f>
        <v>35714.857000000004</v>
      </c>
      <c r="N26" s="1423">
        <f t="shared" si="2"/>
        <v>100</v>
      </c>
      <c r="O26" s="431">
        <f>M26+M15</f>
        <v>45600.959000000003</v>
      </c>
    </row>
    <row r="27" spans="1:17" x14ac:dyDescent="0.25">
      <c r="A27" s="207">
        <v>2</v>
      </c>
      <c r="B27" s="393" t="s">
        <v>1478</v>
      </c>
      <c r="C27" s="1410"/>
      <c r="D27" s="1408"/>
      <c r="E27" s="1414"/>
      <c r="F27" s="1414"/>
      <c r="G27" s="1414"/>
      <c r="H27" s="1414"/>
      <c r="I27" s="1414"/>
      <c r="J27" s="1414"/>
      <c r="K27" s="1414"/>
      <c r="L27" s="1362">
        <f>L28+L29</f>
        <v>16000</v>
      </c>
      <c r="M27" s="1429">
        <f>M28+M29</f>
        <v>4067.16</v>
      </c>
      <c r="N27" s="1417">
        <f t="shared" si="2"/>
        <v>25.419749999999997</v>
      </c>
    </row>
    <row r="28" spans="1:17" ht="31.5" x14ac:dyDescent="0.25">
      <c r="A28" s="1400" t="s">
        <v>43</v>
      </c>
      <c r="B28" s="1427" t="s">
        <v>1474</v>
      </c>
      <c r="C28" s="1413" t="s">
        <v>1475</v>
      </c>
      <c r="D28" s="1424">
        <v>195540.658</v>
      </c>
      <c r="E28" s="1414"/>
      <c r="F28" s="1414"/>
      <c r="G28" s="1414"/>
      <c r="H28" s="1414"/>
      <c r="I28" s="1414"/>
      <c r="J28" s="1414"/>
      <c r="K28" s="1414"/>
      <c r="L28" s="1414">
        <v>6000</v>
      </c>
      <c r="M28" s="1422">
        <v>4067.16</v>
      </c>
      <c r="N28" s="1423">
        <f t="shared" si="2"/>
        <v>67.786000000000001</v>
      </c>
      <c r="O28" s="431">
        <f>M28+M22+M12</f>
        <v>45194.110999999997</v>
      </c>
    </row>
    <row r="29" spans="1:17" ht="31.5" x14ac:dyDescent="0.25">
      <c r="A29" s="1412" t="s">
        <v>44</v>
      </c>
      <c r="B29" s="1428" t="s">
        <v>1480</v>
      </c>
      <c r="C29" s="1413" t="s">
        <v>1475</v>
      </c>
      <c r="D29" s="1408">
        <v>195540.658</v>
      </c>
      <c r="E29" s="1414"/>
      <c r="F29" s="1414"/>
      <c r="G29" s="1414"/>
      <c r="H29" s="1414"/>
      <c r="I29" s="1414"/>
      <c r="J29" s="1414"/>
      <c r="K29" s="1414"/>
      <c r="L29" s="1414">
        <v>10000</v>
      </c>
      <c r="M29" s="1418"/>
      <c r="N29" s="1417">
        <f t="shared" si="2"/>
        <v>0</v>
      </c>
      <c r="O29" s="431">
        <f>M25</f>
        <v>47007.898999999998</v>
      </c>
      <c r="Q29" s="431"/>
    </row>
    <row r="32" spans="1:17" x14ac:dyDescent="0.25">
      <c r="O32" s="504">
        <f>L23+L17+L13</f>
        <v>89620.630999999994</v>
      </c>
      <c r="P32" s="41">
        <f>34484.665+6642.286</f>
        <v>41126.951000000001</v>
      </c>
    </row>
    <row r="38" spans="15:15" x14ac:dyDescent="0.25">
      <c r="O38" s="431">
        <f>L21+L11</f>
        <v>45174.745999999999</v>
      </c>
    </row>
  </sheetData>
  <mergeCells count="9">
    <mergeCell ref="A2:N2"/>
    <mergeCell ref="M3:N3"/>
    <mergeCell ref="J4:J6"/>
    <mergeCell ref="K4:K6"/>
    <mergeCell ref="L4:L6"/>
    <mergeCell ref="M4:M6"/>
    <mergeCell ref="N4:N6"/>
    <mergeCell ref="B4:B5"/>
    <mergeCell ref="A4:A5"/>
  </mergeCells>
  <pageMargins left="0.45" right="0.45" top="0.75" bottom="0.5" header="0.3" footer="0.3"/>
  <pageSetup paperSize="9" scale="85"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39997558519241921"/>
  </sheetPr>
  <dimension ref="A1:AF59"/>
  <sheetViews>
    <sheetView view="pageBreakPreview" zoomScale="70" zoomScaleNormal="70" zoomScaleSheetLayoutView="70" zoomScalePageLayoutView="85" workbookViewId="0">
      <pane xSplit="3" ySplit="9" topLeftCell="D25" activePane="bottomRight" state="frozen"/>
      <selection pane="topRight" activeCell="D1" sqref="D1"/>
      <selection pane="bottomLeft" activeCell="A9" sqref="A9"/>
      <selection pane="bottomRight" activeCell="M21" sqref="M21"/>
    </sheetView>
  </sheetViews>
  <sheetFormatPr defaultColWidth="9.140625" defaultRowHeight="15.75" x14ac:dyDescent="0.25"/>
  <cols>
    <col min="1" max="1" width="6.85546875" style="688" customWidth="1"/>
    <col min="2" max="2" width="73.42578125" style="1441" customWidth="1"/>
    <col min="3" max="3" width="34.140625" style="688" customWidth="1"/>
    <col min="4" max="4" width="22.42578125" style="669" customWidth="1"/>
    <col min="5" max="5" width="12.28515625" style="102" hidden="1" customWidth="1"/>
    <col min="6" max="6" width="7.5703125" style="102" hidden="1" customWidth="1"/>
    <col min="7" max="7" width="11.28515625" style="102" hidden="1" customWidth="1"/>
    <col min="8" max="8" width="1.140625" style="378" hidden="1" customWidth="1"/>
    <col min="9" max="9" width="6.5703125" style="102" hidden="1" customWidth="1"/>
    <col min="10" max="10" width="12.5703125" style="102" hidden="1" customWidth="1"/>
    <col min="11" max="11" width="14.42578125" style="102" hidden="1" customWidth="1"/>
    <col min="12" max="12" width="18.28515625" style="102" customWidth="1"/>
    <col min="13" max="13" width="17.85546875" style="578" customWidth="1"/>
    <col min="14" max="14" width="15.140625" style="1508" customWidth="1"/>
    <col min="15" max="15" width="18.85546875" style="102" hidden="1" customWidth="1"/>
    <col min="16" max="16" width="16.7109375" style="102" hidden="1" customWidth="1"/>
    <col min="17" max="17" width="21.7109375" style="102" hidden="1" customWidth="1"/>
    <col min="18" max="18" width="20.28515625" style="102" hidden="1" customWidth="1"/>
    <col min="19" max="19" width="23.140625" style="102" hidden="1" customWidth="1"/>
    <col min="20" max="20" width="15.42578125" style="102" hidden="1" customWidth="1"/>
    <col min="21" max="21" width="11.85546875" style="102" hidden="1" customWidth="1"/>
    <col min="22" max="22" width="8.5703125" style="102" hidden="1" customWidth="1"/>
    <col min="23" max="23" width="12" style="102" hidden="1" customWidth="1"/>
    <col min="24" max="24" width="9.140625" style="102" hidden="1" customWidth="1"/>
    <col min="25" max="25" width="18.7109375" style="102" hidden="1" customWidth="1"/>
    <col min="26" max="26" width="22.28515625" style="102" hidden="1" customWidth="1"/>
    <col min="27" max="27" width="2.140625" style="102" hidden="1" customWidth="1"/>
    <col min="28" max="28" width="5.7109375" style="102" hidden="1" customWidth="1"/>
    <col min="29" max="29" width="9.140625" style="102" hidden="1" customWidth="1"/>
    <col min="30" max="30" width="12.28515625" style="102" hidden="1" customWidth="1"/>
    <col min="31" max="31" width="9.140625" style="102" hidden="1" customWidth="1"/>
    <col min="32" max="32" width="20" style="102" hidden="1" customWidth="1"/>
    <col min="33" max="16384" width="9.140625" style="102"/>
  </cols>
  <sheetData>
    <row r="1" spans="1:32" ht="28.5" customHeight="1" x14ac:dyDescent="0.25">
      <c r="A1" s="3130" t="str">
        <f>'48_NĐ31'!A1</f>
        <v xml:space="preserve">UBND PHƯỜNG BẮC KẠN </v>
      </c>
      <c r="B1" s="3130"/>
      <c r="M1" s="3129" t="s">
        <v>974</v>
      </c>
      <c r="N1" s="3129"/>
    </row>
    <row r="2" spans="1:32" ht="28.5" hidden="1" customHeight="1" x14ac:dyDescent="0.25">
      <c r="A2" s="3129" t="s">
        <v>1522</v>
      </c>
      <c r="B2" s="3129"/>
      <c r="C2" s="3129"/>
      <c r="D2" s="3129"/>
      <c r="E2" s="3129"/>
      <c r="F2" s="3129"/>
      <c r="G2" s="3129"/>
      <c r="H2" s="3129"/>
      <c r="I2" s="3129"/>
      <c r="J2" s="3129"/>
      <c r="K2" s="3129"/>
      <c r="L2" s="3129"/>
      <c r="M2" s="3129"/>
      <c r="N2" s="3129"/>
    </row>
    <row r="3" spans="1:32" ht="28.5" customHeight="1" x14ac:dyDescent="0.25">
      <c r="A3" s="3101" t="s">
        <v>1468</v>
      </c>
      <c r="B3" s="3101"/>
      <c r="C3" s="3101"/>
      <c r="D3" s="3101"/>
      <c r="E3" s="3101"/>
      <c r="F3" s="3101"/>
      <c r="G3" s="3101"/>
      <c r="H3" s="3101"/>
      <c r="I3" s="3101"/>
      <c r="J3" s="3101"/>
      <c r="K3" s="3101"/>
      <c r="L3" s="3101"/>
      <c r="M3" s="3101"/>
      <c r="N3" s="3101"/>
    </row>
    <row r="4" spans="1:32" ht="28.5" customHeight="1" x14ac:dyDescent="0.25">
      <c r="A4" s="3224" t="str">
        <f>'61_NĐ31'!A4:AF4</f>
        <v>(Kèm theo Quyết định số          /QĐ-UBND ngày          /4/2026 của UBND phường Bắc Kạn)</v>
      </c>
      <c r="B4" s="3224"/>
      <c r="C4" s="3224"/>
      <c r="D4" s="3224"/>
      <c r="E4" s="3224"/>
      <c r="F4" s="3224"/>
      <c r="G4" s="3224"/>
      <c r="H4" s="3224"/>
      <c r="I4" s="3224"/>
      <c r="J4" s="3224"/>
      <c r="K4" s="3224"/>
      <c r="L4" s="3224"/>
      <c r="M4" s="3224"/>
      <c r="N4" s="1506"/>
    </row>
    <row r="5" spans="1:32" ht="31.5" customHeight="1" x14ac:dyDescent="0.25">
      <c r="L5" s="1339"/>
      <c r="M5" s="3226" t="s">
        <v>1187</v>
      </c>
      <c r="N5" s="3226"/>
    </row>
    <row r="6" spans="1:32" ht="36" customHeight="1" x14ac:dyDescent="0.25">
      <c r="A6" s="3136" t="s">
        <v>0</v>
      </c>
      <c r="B6" s="3136" t="s">
        <v>54</v>
      </c>
      <c r="C6" s="5" t="s">
        <v>478</v>
      </c>
      <c r="D6" s="5"/>
      <c r="E6" s="5"/>
      <c r="F6" s="5"/>
      <c r="G6" s="5"/>
      <c r="H6" s="5"/>
      <c r="I6" s="5"/>
      <c r="J6" s="3134" t="s">
        <v>769</v>
      </c>
      <c r="K6" s="3134" t="s">
        <v>770</v>
      </c>
      <c r="L6" s="3134" t="s">
        <v>1099</v>
      </c>
      <c r="M6" s="3134" t="s">
        <v>1100</v>
      </c>
      <c r="N6" s="3225" t="s">
        <v>414</v>
      </c>
    </row>
    <row r="7" spans="1:32" ht="36" customHeight="1" x14ac:dyDescent="0.25">
      <c r="A7" s="3223"/>
      <c r="B7" s="3223"/>
      <c r="C7" s="3136" t="s">
        <v>479</v>
      </c>
      <c r="D7" s="5" t="s">
        <v>480</v>
      </c>
      <c r="E7" s="5"/>
      <c r="F7" s="5"/>
      <c r="G7" s="5"/>
      <c r="H7" s="5"/>
      <c r="I7" s="5"/>
      <c r="J7" s="3134"/>
      <c r="K7" s="3134"/>
      <c r="L7" s="3134"/>
      <c r="M7" s="3134"/>
      <c r="N7" s="3225"/>
      <c r="O7" s="102">
        <v>22898470.827</v>
      </c>
    </row>
    <row r="8" spans="1:32" ht="36" customHeight="1" x14ac:dyDescent="0.25">
      <c r="A8" s="3137"/>
      <c r="B8" s="3137"/>
      <c r="C8" s="3137"/>
      <c r="D8" s="1076" t="s">
        <v>56</v>
      </c>
      <c r="E8" s="5" t="s">
        <v>481</v>
      </c>
      <c r="F8" s="5"/>
      <c r="G8" s="5"/>
      <c r="H8" s="5"/>
      <c r="I8" s="5"/>
      <c r="J8" s="3134"/>
      <c r="K8" s="3134"/>
      <c r="L8" s="3134"/>
      <c r="M8" s="3134"/>
      <c r="N8" s="3225"/>
      <c r="O8" s="1363">
        <v>23185254.901000001</v>
      </c>
      <c r="P8" s="1382">
        <f>O8-O7</f>
        <v>286784.07400000095</v>
      </c>
      <c r="Q8" s="102">
        <v>286784.97399999999</v>
      </c>
      <c r="R8" s="1384">
        <f>P8-Q8</f>
        <v>-0.89999999903375283</v>
      </c>
    </row>
    <row r="9" spans="1:32" ht="20.25" customHeight="1" x14ac:dyDescent="0.25">
      <c r="A9" s="5" t="s">
        <v>3</v>
      </c>
      <c r="B9" s="5" t="s">
        <v>4</v>
      </c>
      <c r="C9" s="5">
        <v>1</v>
      </c>
      <c r="D9" s="2979">
        <v>2</v>
      </c>
      <c r="E9" s="2980">
        <v>6</v>
      </c>
      <c r="F9" s="2980">
        <v>7</v>
      </c>
      <c r="G9" s="2980">
        <v>8</v>
      </c>
      <c r="H9" s="2980">
        <v>3</v>
      </c>
      <c r="I9" s="2980">
        <v>4</v>
      </c>
      <c r="J9" s="2980">
        <v>5</v>
      </c>
      <c r="K9" s="2980">
        <v>6</v>
      </c>
      <c r="L9" s="2980">
        <v>3</v>
      </c>
      <c r="M9" s="2980">
        <v>4</v>
      </c>
      <c r="N9" s="2978">
        <v>5</v>
      </c>
      <c r="O9" s="2974"/>
      <c r="R9" s="1078" t="s">
        <v>703</v>
      </c>
      <c r="S9" s="378" t="s">
        <v>704</v>
      </c>
      <c r="T9" s="378" t="s">
        <v>783</v>
      </c>
      <c r="U9" s="102" t="s">
        <v>608</v>
      </c>
    </row>
    <row r="10" spans="1:32" s="377" customFormat="1" ht="33.75" customHeight="1" x14ac:dyDescent="0.25">
      <c r="A10" s="5"/>
      <c r="B10" s="5" t="s">
        <v>29</v>
      </c>
      <c r="C10" s="5"/>
      <c r="D10" s="1079"/>
      <c r="E10" s="1079"/>
      <c r="F10" s="1079"/>
      <c r="G10" s="1079"/>
      <c r="H10" s="1079"/>
      <c r="I10" s="1079"/>
      <c r="J10" s="1079"/>
      <c r="K10" s="1079"/>
      <c r="L10" s="1366">
        <f>L11+L36+L38</f>
        <v>26684335.098000001</v>
      </c>
      <c r="M10" s="1366">
        <f>M11+M36+M38</f>
        <v>23185254.901000001</v>
      </c>
      <c r="N10" s="2981">
        <f>M10/L10*100%</f>
        <v>0.86887137400465875</v>
      </c>
      <c r="O10" s="2975">
        <f>O9-M11</f>
        <v>-17898469.927000001</v>
      </c>
      <c r="P10" s="1081"/>
      <c r="R10" s="102"/>
      <c r="S10" s="102"/>
      <c r="T10" s="102"/>
      <c r="Y10" s="102"/>
      <c r="Z10" s="1381"/>
      <c r="AA10" s="102"/>
      <c r="AB10" s="102"/>
      <c r="AC10" s="102"/>
      <c r="AD10" s="102"/>
      <c r="AE10" s="102"/>
      <c r="AF10" s="686"/>
    </row>
    <row r="11" spans="1:32" s="377" customFormat="1" ht="33" customHeight="1" x14ac:dyDescent="0.25">
      <c r="A11" s="5" t="s">
        <v>3</v>
      </c>
      <c r="B11" s="1367" t="s">
        <v>1438</v>
      </c>
      <c r="C11" s="5"/>
      <c r="D11" s="1510"/>
      <c r="E11" s="1510"/>
      <c r="F11" s="1510"/>
      <c r="G11" s="1510"/>
      <c r="H11" s="1510"/>
      <c r="I11" s="1510"/>
      <c r="J11" s="1510"/>
      <c r="K11" s="1510"/>
      <c r="L11" s="1511">
        <f>L12+L23+L30</f>
        <v>21340649.827</v>
      </c>
      <c r="M11" s="1511">
        <f>M12+M23+M30</f>
        <v>17898469.927000001</v>
      </c>
      <c r="N11" s="2982">
        <f t="shared" ref="N11:N59" si="0">M11/L11*100%</f>
        <v>0.83870313566342369</v>
      </c>
      <c r="O11" s="1543"/>
      <c r="P11" s="1514"/>
      <c r="Q11" s="1515" t="e">
        <f>SUM(R11:U11)</f>
        <v>#REF!</v>
      </c>
      <c r="R11" s="1515" t="e">
        <f>SUM(R12:R16)</f>
        <v>#REF!</v>
      </c>
      <c r="S11" s="1515" t="e">
        <f>SUM(S12:S16)</f>
        <v>#REF!</v>
      </c>
      <c r="T11" s="1515" t="e">
        <f t="shared" ref="T11:U11" si="1">SUM(T12:T16)</f>
        <v>#REF!</v>
      </c>
      <c r="U11" s="1516" t="e">
        <f t="shared" si="1"/>
        <v>#REF!</v>
      </c>
      <c r="Y11" s="1517"/>
      <c r="Z11" s="102"/>
      <c r="AA11" s="102"/>
      <c r="AB11" s="102"/>
      <c r="AC11" s="102"/>
      <c r="AD11" s="102"/>
      <c r="AE11" s="102"/>
      <c r="AF11" s="961"/>
    </row>
    <row r="12" spans="1:32" s="377" customFormat="1" ht="33" customHeight="1" x14ac:dyDescent="0.25">
      <c r="A12" s="5" t="s">
        <v>5</v>
      </c>
      <c r="B12" s="1367" t="s">
        <v>1439</v>
      </c>
      <c r="C12" s="5"/>
      <c r="D12" s="1510"/>
      <c r="E12" s="1510"/>
      <c r="F12" s="1510"/>
      <c r="G12" s="1510"/>
      <c r="H12" s="1510"/>
      <c r="I12" s="1510"/>
      <c r="J12" s="1510"/>
      <c r="K12" s="1510"/>
      <c r="L12" s="1510">
        <f>L13+L19</f>
        <v>18560127.906999998</v>
      </c>
      <c r="M12" s="1510">
        <f>M13+M19</f>
        <v>16559987.006999999</v>
      </c>
      <c r="N12" s="2982">
        <f t="shared" si="0"/>
        <v>0.89223453038566392</v>
      </c>
      <c r="O12" s="2976"/>
      <c r="P12" s="1518"/>
      <c r="Q12" s="102" t="s">
        <v>706</v>
      </c>
      <c r="R12" s="958">
        <f>SUM(M13,M17,M31,M34,M27)</f>
        <v>14726519.950000001</v>
      </c>
      <c r="S12" s="960" t="e">
        <f>SUM(M22,M23,M35,#REF!,#REF!,#REF!,#REF!,#REF!)</f>
        <v>#REF!</v>
      </c>
      <c r="T12" s="960"/>
      <c r="U12" s="959"/>
      <c r="Y12" s="1519"/>
      <c r="Z12" s="376">
        <v>486322400</v>
      </c>
      <c r="AA12" s="102"/>
      <c r="AB12" s="102"/>
      <c r="AC12" s="102"/>
      <c r="AD12" s="102"/>
      <c r="AE12" s="102"/>
      <c r="AF12" s="102"/>
    </row>
    <row r="13" spans="1:32" ht="39.75" customHeight="1" x14ac:dyDescent="0.25">
      <c r="A13" s="5" t="s">
        <v>1440</v>
      </c>
      <c r="B13" s="1552" t="s">
        <v>1441</v>
      </c>
      <c r="C13" s="5"/>
      <c r="D13" s="1520"/>
      <c r="E13" s="834"/>
      <c r="F13" s="834"/>
      <c r="G13" s="834"/>
      <c r="H13" s="834"/>
      <c r="I13" s="834"/>
      <c r="J13" s="834"/>
      <c r="K13" s="834"/>
      <c r="L13" s="834">
        <f>SUM(L14:L18)</f>
        <v>10238028.182</v>
      </c>
      <c r="M13" s="834">
        <f>SUM(M14:M18)</f>
        <v>10237888.182</v>
      </c>
      <c r="N13" s="2982">
        <f t="shared" si="0"/>
        <v>0.99998632549183186</v>
      </c>
      <c r="O13" s="1078" t="s">
        <v>703</v>
      </c>
      <c r="Q13" s="102" t="s">
        <v>705</v>
      </c>
      <c r="S13" s="1521" t="e">
        <f>#REF!</f>
        <v>#REF!</v>
      </c>
      <c r="T13" s="961"/>
      <c r="Y13" s="1519"/>
      <c r="AF13" s="2193">
        <f>M13+M36</f>
        <v>15237888.182</v>
      </c>
    </row>
    <row r="14" spans="1:32" ht="34.5" customHeight="1" x14ac:dyDescent="0.25">
      <c r="A14" s="252">
        <v>1</v>
      </c>
      <c r="B14" s="1368" t="s">
        <v>771</v>
      </c>
      <c r="C14" s="1369" t="s">
        <v>772</v>
      </c>
      <c r="D14" s="834"/>
      <c r="E14" s="834"/>
      <c r="F14" s="834"/>
      <c r="G14" s="834"/>
      <c r="H14" s="834"/>
      <c r="I14" s="834"/>
      <c r="J14" s="834"/>
      <c r="K14" s="834"/>
      <c r="L14" s="1522">
        <v>3396472.1519999998</v>
      </c>
      <c r="M14" s="1522">
        <f>L14</f>
        <v>3396472.1519999998</v>
      </c>
      <c r="N14" s="2983">
        <f t="shared" si="0"/>
        <v>1</v>
      </c>
      <c r="O14" s="1078" t="s">
        <v>703</v>
      </c>
      <c r="Q14" s="102" t="s">
        <v>707</v>
      </c>
      <c r="R14" s="1524" t="e">
        <f>SUM(M14,M18,M19,M20,M24,M25,M26,M30,#REF!,#REF!,#REF!,#REF!,#REF!)</f>
        <v>#REF!</v>
      </c>
      <c r="S14" s="854" t="e">
        <f>SUM(M28,#REF!,#REF!,#REF!,#REF!,#REF!,#REF!,#REF!,#REF!,#REF!,#REF!,M36)</f>
        <v>#REF!</v>
      </c>
      <c r="T14" s="854" t="e">
        <f>#REF!</f>
        <v>#REF!</v>
      </c>
      <c r="U14" s="1525" t="e">
        <f>#REF!</f>
        <v>#REF!</v>
      </c>
      <c r="W14" s="1517"/>
      <c r="X14" s="1517"/>
      <c r="Y14" s="1526"/>
    </row>
    <row r="15" spans="1:32" ht="38.450000000000003" customHeight="1" x14ac:dyDescent="0.25">
      <c r="A15" s="252">
        <v>2</v>
      </c>
      <c r="B15" s="1368" t="s">
        <v>1442</v>
      </c>
      <c r="C15" s="1370" t="str">
        <f>C21</f>
        <v>3045/QĐ-UBND ngày 3/12/2024; 57/QĐ-UBND ngày 20/01/2026</v>
      </c>
      <c r="D15" s="834"/>
      <c r="E15" s="834"/>
      <c r="F15" s="834"/>
      <c r="G15" s="834"/>
      <c r="H15" s="834"/>
      <c r="I15" s="834"/>
      <c r="J15" s="834"/>
      <c r="K15" s="834"/>
      <c r="L15" s="1522">
        <v>140</v>
      </c>
      <c r="M15" s="1522">
        <v>0</v>
      </c>
      <c r="N15" s="2983">
        <f t="shared" si="0"/>
        <v>0</v>
      </c>
      <c r="O15" s="1078" t="s">
        <v>703</v>
      </c>
      <c r="Q15" s="102" t="s">
        <v>708</v>
      </c>
      <c r="R15" s="1527" t="e">
        <f>SUM(#REF!,M15)</f>
        <v>#REF!</v>
      </c>
      <c r="U15" s="1528"/>
      <c r="W15" s="1517"/>
      <c r="X15" s="1517"/>
    </row>
    <row r="16" spans="1:32" ht="63.75" customHeight="1" x14ac:dyDescent="0.25">
      <c r="A16" s="252">
        <v>3</v>
      </c>
      <c r="B16" s="1368" t="s">
        <v>1443</v>
      </c>
      <c r="C16" s="252" t="s">
        <v>1444</v>
      </c>
      <c r="D16" s="834"/>
      <c r="E16" s="834"/>
      <c r="F16" s="834"/>
      <c r="G16" s="834"/>
      <c r="H16" s="834"/>
      <c r="I16" s="834"/>
      <c r="J16" s="834"/>
      <c r="K16" s="834"/>
      <c r="L16" s="1522">
        <v>1307961.182</v>
      </c>
      <c r="M16" s="1522">
        <f>L16</f>
        <v>1307961.182</v>
      </c>
      <c r="N16" s="2983">
        <f t="shared" si="0"/>
        <v>1</v>
      </c>
      <c r="O16" s="1078" t="s">
        <v>703</v>
      </c>
      <c r="P16" s="1078"/>
      <c r="Q16" s="102" t="s">
        <v>784</v>
      </c>
      <c r="R16" s="1527">
        <f>M16</f>
        <v>1307961.182</v>
      </c>
      <c r="U16" s="1528"/>
      <c r="W16" s="1517"/>
      <c r="X16" s="1517"/>
    </row>
    <row r="17" spans="1:25" ht="31.5" customHeight="1" x14ac:dyDescent="0.25">
      <c r="A17" s="252">
        <v>4</v>
      </c>
      <c r="B17" s="1368" t="s">
        <v>776</v>
      </c>
      <c r="C17" s="1378" t="s">
        <v>1445</v>
      </c>
      <c r="D17" s="834"/>
      <c r="E17" s="834"/>
      <c r="F17" s="834"/>
      <c r="G17" s="834"/>
      <c r="H17" s="834"/>
      <c r="I17" s="834"/>
      <c r="J17" s="834"/>
      <c r="K17" s="834"/>
      <c r="L17" s="1529">
        <v>3754254.8480000002</v>
      </c>
      <c r="M17" s="1530">
        <f>L17</f>
        <v>3754254.8480000002</v>
      </c>
      <c r="N17" s="2983">
        <f t="shared" si="0"/>
        <v>1</v>
      </c>
      <c r="O17" s="1078" t="s">
        <v>703</v>
      </c>
      <c r="P17" s="1078"/>
      <c r="R17" s="1527"/>
      <c r="U17" s="1528"/>
      <c r="W17" s="1517"/>
      <c r="X17" s="1517"/>
    </row>
    <row r="18" spans="1:25" ht="31.5" customHeight="1" x14ac:dyDescent="0.25">
      <c r="A18" s="252">
        <v>5</v>
      </c>
      <c r="B18" s="1368" t="s">
        <v>773</v>
      </c>
      <c r="C18" s="1370" t="s">
        <v>774</v>
      </c>
      <c r="D18" s="834"/>
      <c r="E18" s="834"/>
      <c r="F18" s="834"/>
      <c r="G18" s="834"/>
      <c r="H18" s="834"/>
      <c r="I18" s="834"/>
      <c r="J18" s="834"/>
      <c r="K18" s="834"/>
      <c r="L18" s="1529">
        <v>1779200</v>
      </c>
      <c r="M18" s="1530">
        <f>L18</f>
        <v>1779200</v>
      </c>
      <c r="N18" s="2983">
        <f t="shared" si="0"/>
        <v>1</v>
      </c>
      <c r="O18" s="1078" t="s">
        <v>703</v>
      </c>
      <c r="P18" s="1078"/>
      <c r="R18" s="1527"/>
      <c r="U18" s="1528"/>
      <c r="W18" s="1517"/>
      <c r="X18" s="1517"/>
    </row>
    <row r="19" spans="1:25" ht="31.5" customHeight="1" x14ac:dyDescent="0.25">
      <c r="A19" s="1371" t="s">
        <v>1446</v>
      </c>
      <c r="B19" s="1372" t="s">
        <v>1447</v>
      </c>
      <c r="C19" s="1378"/>
      <c r="D19" s="834"/>
      <c r="E19" s="834"/>
      <c r="F19" s="834"/>
      <c r="G19" s="834"/>
      <c r="H19" s="834"/>
      <c r="I19" s="834"/>
      <c r="J19" s="834"/>
      <c r="K19" s="834"/>
      <c r="L19" s="834">
        <f>L20+L21+L22</f>
        <v>8322099.7249999996</v>
      </c>
      <c r="M19" s="834">
        <f>M20+M21+M22</f>
        <v>6322098.8249999993</v>
      </c>
      <c r="N19" s="2982">
        <f t="shared" si="0"/>
        <v>0.75967592721919697</v>
      </c>
      <c r="O19" s="1078" t="s">
        <v>703</v>
      </c>
      <c r="P19" s="1078"/>
      <c r="R19" s="1527"/>
      <c r="U19" s="1528"/>
      <c r="W19" s="1517"/>
      <c r="X19" s="1517"/>
    </row>
    <row r="20" spans="1:25" ht="38.450000000000003" customHeight="1" x14ac:dyDescent="0.25">
      <c r="A20" s="1373" t="s">
        <v>1448</v>
      </c>
      <c r="B20" s="1368" t="s">
        <v>771</v>
      </c>
      <c r="C20" s="1369" t="s">
        <v>772</v>
      </c>
      <c r="D20" s="834"/>
      <c r="E20" s="834"/>
      <c r="F20" s="834"/>
      <c r="G20" s="834"/>
      <c r="H20" s="834"/>
      <c r="I20" s="834"/>
      <c r="J20" s="834"/>
      <c r="K20" s="834"/>
      <c r="L20" s="1529">
        <v>2042861.7250000001</v>
      </c>
      <c r="M20" s="1530">
        <f>L20</f>
        <v>2042861.7250000001</v>
      </c>
      <c r="N20" s="2983">
        <f t="shared" si="0"/>
        <v>1</v>
      </c>
      <c r="O20" s="1078" t="s">
        <v>703</v>
      </c>
      <c r="P20" s="1078"/>
      <c r="R20" s="1527"/>
      <c r="U20" s="1528"/>
      <c r="W20" s="1517"/>
      <c r="X20" s="1517"/>
    </row>
    <row r="21" spans="1:25" ht="41.25" customHeight="1" x14ac:dyDescent="0.25">
      <c r="A21" s="1373" t="s">
        <v>1449</v>
      </c>
      <c r="B21" s="1368" t="s">
        <v>1442</v>
      </c>
      <c r="C21" s="1378" t="s">
        <v>1450</v>
      </c>
      <c r="D21" s="834"/>
      <c r="E21" s="834"/>
      <c r="F21" s="834"/>
      <c r="G21" s="834"/>
      <c r="H21" s="834"/>
      <c r="I21" s="834"/>
      <c r="J21" s="834"/>
      <c r="K21" s="834"/>
      <c r="L21" s="1529">
        <v>2083537</v>
      </c>
      <c r="M21" s="1530">
        <v>83537</v>
      </c>
      <c r="N21" s="2983">
        <f t="shared" si="0"/>
        <v>4.0093840426159939E-2</v>
      </c>
      <c r="O21" s="2977"/>
      <c r="Q21" s="1531"/>
      <c r="R21" s="1532"/>
      <c r="S21" s="1532"/>
      <c r="T21" s="1532"/>
      <c r="U21" s="1528"/>
      <c r="W21" s="1517"/>
      <c r="X21" s="1517"/>
    </row>
    <row r="22" spans="1:25" ht="31.5" customHeight="1" x14ac:dyDescent="0.25">
      <c r="A22" s="1373" t="s">
        <v>1451</v>
      </c>
      <c r="B22" s="1368" t="s">
        <v>778</v>
      </c>
      <c r="C22" s="1370" t="s">
        <v>779</v>
      </c>
      <c r="D22" s="834"/>
      <c r="E22" s="834"/>
      <c r="F22" s="834"/>
      <c r="G22" s="834"/>
      <c r="H22" s="834"/>
      <c r="I22" s="834"/>
      <c r="J22" s="834"/>
      <c r="K22" s="834"/>
      <c r="L22" s="1529">
        <v>4195701</v>
      </c>
      <c r="M22" s="1530">
        <f>4195700.1</f>
        <v>4195700.0999999996</v>
      </c>
      <c r="N22" s="2983">
        <f t="shared" si="0"/>
        <v>0.99999978549472412</v>
      </c>
      <c r="O22" s="378" t="s">
        <v>704</v>
      </c>
      <c r="P22" s="1533">
        <f>M22-0.9</f>
        <v>4195699.1999999993</v>
      </c>
      <c r="Q22" s="1519"/>
      <c r="W22" s="1517"/>
      <c r="X22" s="1517"/>
    </row>
    <row r="23" spans="1:25" ht="37.5" customHeight="1" x14ac:dyDescent="0.25">
      <c r="A23" s="1371" t="s">
        <v>11</v>
      </c>
      <c r="B23" s="1372" t="s">
        <v>1452</v>
      </c>
      <c r="C23" s="1551"/>
      <c r="D23" s="834"/>
      <c r="E23" s="834"/>
      <c r="F23" s="834"/>
      <c r="G23" s="834"/>
      <c r="H23" s="834"/>
      <c r="I23" s="834"/>
      <c r="J23" s="834"/>
      <c r="K23" s="834"/>
      <c r="L23" s="834">
        <f>L24+L28</f>
        <v>1703170</v>
      </c>
      <c r="M23" s="834">
        <f>M24+M28</f>
        <v>485106</v>
      </c>
      <c r="N23" s="2982">
        <f t="shared" si="0"/>
        <v>0.28482535507318707</v>
      </c>
      <c r="O23" s="378" t="s">
        <v>704</v>
      </c>
      <c r="Q23" s="961"/>
      <c r="R23" s="1528"/>
      <c r="W23" s="1517"/>
      <c r="X23" s="1517"/>
    </row>
    <row r="24" spans="1:25" ht="37.5" customHeight="1" x14ac:dyDescent="0.25">
      <c r="A24" s="5" t="s">
        <v>1453</v>
      </c>
      <c r="B24" s="1552" t="s">
        <v>1441</v>
      </c>
      <c r="C24" s="1551"/>
      <c r="D24" s="834"/>
      <c r="E24" s="834"/>
      <c r="F24" s="834"/>
      <c r="G24" s="834"/>
      <c r="H24" s="834"/>
      <c r="I24" s="834"/>
      <c r="J24" s="834"/>
      <c r="K24" s="834"/>
      <c r="L24" s="834">
        <f>L25+L26+L27</f>
        <v>1698545</v>
      </c>
      <c r="M24" s="834">
        <f>M25+M26+M27</f>
        <v>485106</v>
      </c>
      <c r="N24" s="2982">
        <f t="shared" si="0"/>
        <v>0.28560091136825932</v>
      </c>
      <c r="O24" s="378" t="s">
        <v>782</v>
      </c>
      <c r="R24" s="1527"/>
      <c r="W24" s="1517"/>
      <c r="X24" s="1517"/>
    </row>
    <row r="25" spans="1:25" ht="35.25" customHeight="1" x14ac:dyDescent="0.25">
      <c r="A25" s="252">
        <v>1</v>
      </c>
      <c r="B25" s="1368" t="s">
        <v>777</v>
      </c>
      <c r="C25" s="1370" t="s">
        <v>1454</v>
      </c>
      <c r="D25" s="834"/>
      <c r="E25" s="834"/>
      <c r="F25" s="834"/>
      <c r="G25" s="834"/>
      <c r="H25" s="834"/>
      <c r="I25" s="834"/>
      <c r="J25" s="834"/>
      <c r="K25" s="834"/>
      <c r="L25" s="1529">
        <v>1677000</v>
      </c>
      <c r="M25" s="1530">
        <v>485106</v>
      </c>
      <c r="N25" s="2983">
        <f t="shared" si="0"/>
        <v>0.28927012522361362</v>
      </c>
      <c r="O25" s="378" t="s">
        <v>782</v>
      </c>
      <c r="S25" s="854"/>
    </row>
    <row r="26" spans="1:25" ht="36" customHeight="1" x14ac:dyDescent="0.25">
      <c r="A26" s="252">
        <v>2</v>
      </c>
      <c r="B26" s="1368" t="s">
        <v>790</v>
      </c>
      <c r="C26" s="252" t="s">
        <v>1455</v>
      </c>
      <c r="D26" s="834"/>
      <c r="E26" s="834"/>
      <c r="F26" s="834"/>
      <c r="G26" s="834"/>
      <c r="H26" s="834"/>
      <c r="I26" s="834"/>
      <c r="J26" s="834"/>
      <c r="K26" s="834"/>
      <c r="L26" s="1529">
        <v>16850</v>
      </c>
      <c r="M26" s="1534">
        <v>0</v>
      </c>
      <c r="N26" s="2984">
        <f t="shared" si="0"/>
        <v>0</v>
      </c>
      <c r="O26" s="378" t="s">
        <v>782</v>
      </c>
      <c r="R26" s="1527"/>
      <c r="S26" s="961"/>
      <c r="W26" s="1517"/>
      <c r="X26" s="1517"/>
    </row>
    <row r="27" spans="1:25" s="1834" customFormat="1" ht="36" customHeight="1" x14ac:dyDescent="0.25">
      <c r="A27" s="1374">
        <v>3</v>
      </c>
      <c r="B27" s="1368" t="s">
        <v>1456</v>
      </c>
      <c r="C27" s="1375" t="s">
        <v>1457</v>
      </c>
      <c r="D27" s="1535"/>
      <c r="E27" s="1535"/>
      <c r="F27" s="1535"/>
      <c r="G27" s="1535"/>
      <c r="H27" s="1535"/>
      <c r="I27" s="1535"/>
      <c r="J27" s="1535"/>
      <c r="K27" s="1535"/>
      <c r="L27" s="1536">
        <v>4695</v>
      </c>
      <c r="M27" s="1537"/>
      <c r="N27" s="2984">
        <f t="shared" si="0"/>
        <v>0</v>
      </c>
      <c r="O27" s="378" t="s">
        <v>782</v>
      </c>
    </row>
    <row r="28" spans="1:25" s="377" customFormat="1" ht="37.15" customHeight="1" x14ac:dyDescent="0.25">
      <c r="A28" s="1371" t="s">
        <v>1458</v>
      </c>
      <c r="B28" s="1372" t="s">
        <v>1447</v>
      </c>
      <c r="C28" s="1551"/>
      <c r="D28" s="834"/>
      <c r="E28" s="834"/>
      <c r="F28" s="834"/>
      <c r="G28" s="834"/>
      <c r="H28" s="834"/>
      <c r="I28" s="834"/>
      <c r="J28" s="834"/>
      <c r="K28" s="834"/>
      <c r="L28" s="834">
        <f>L29</f>
        <v>4625</v>
      </c>
      <c r="M28" s="1534">
        <v>0</v>
      </c>
      <c r="N28" s="2984">
        <f t="shared" si="0"/>
        <v>0</v>
      </c>
      <c r="O28" s="1518" t="str">
        <f>O23</f>
        <v>BQLDA</v>
      </c>
      <c r="P28" s="1078"/>
    </row>
    <row r="29" spans="1:25" ht="36" customHeight="1" x14ac:dyDescent="0.25">
      <c r="A29" s="1373" t="s">
        <v>1448</v>
      </c>
      <c r="B29" s="1368" t="s">
        <v>1456</v>
      </c>
      <c r="C29" s="1565" t="str">
        <f>C27</f>
        <v>1026/QĐ-UBND ngày 27/5/2022; 2210/QĐ-UBND ngày 07/8/2023</v>
      </c>
      <c r="D29" s="834"/>
      <c r="E29" s="834"/>
      <c r="F29" s="834"/>
      <c r="G29" s="834"/>
      <c r="H29" s="834"/>
      <c r="I29" s="834"/>
      <c r="J29" s="834"/>
      <c r="K29" s="834"/>
      <c r="L29" s="1529">
        <v>4625</v>
      </c>
      <c r="M29" s="1534">
        <v>0</v>
      </c>
      <c r="N29" s="2984">
        <f t="shared" si="0"/>
        <v>0</v>
      </c>
      <c r="O29" s="2977">
        <f>SUM(O30:O37)</f>
        <v>0</v>
      </c>
    </row>
    <row r="30" spans="1:25" ht="36" customHeight="1" x14ac:dyDescent="0.25">
      <c r="A30" s="1371" t="s">
        <v>17</v>
      </c>
      <c r="B30" s="1372" t="s">
        <v>1459</v>
      </c>
      <c r="C30" s="1378"/>
      <c r="D30" s="834"/>
      <c r="E30" s="834"/>
      <c r="F30" s="834"/>
      <c r="G30" s="834"/>
      <c r="H30" s="834"/>
      <c r="I30" s="834"/>
      <c r="J30" s="834"/>
      <c r="K30" s="834"/>
      <c r="L30" s="834">
        <f>L31+L33</f>
        <v>1077351.92</v>
      </c>
      <c r="M30" s="834">
        <f>M31+M33</f>
        <v>853376.92</v>
      </c>
      <c r="N30" s="2982">
        <f t="shared" si="0"/>
        <v>0.79210600005242493</v>
      </c>
      <c r="O30" s="378" t="s">
        <v>782</v>
      </c>
      <c r="P30" s="1078"/>
    </row>
    <row r="31" spans="1:25" ht="35.25" customHeight="1" x14ac:dyDescent="0.25">
      <c r="A31" s="1371" t="s">
        <v>1460</v>
      </c>
      <c r="B31" s="1372" t="s">
        <v>1461</v>
      </c>
      <c r="C31" s="1378"/>
      <c r="D31" s="834"/>
      <c r="E31" s="834"/>
      <c r="F31" s="834"/>
      <c r="G31" s="834"/>
      <c r="H31" s="834"/>
      <c r="I31" s="834"/>
      <c r="J31" s="834"/>
      <c r="K31" s="834"/>
      <c r="L31" s="834">
        <f>L32</f>
        <v>411067.52</v>
      </c>
      <c r="M31" s="1534">
        <f>M32</f>
        <v>411067.52</v>
      </c>
      <c r="N31" s="2982">
        <f t="shared" si="0"/>
        <v>1</v>
      </c>
      <c r="O31" s="378" t="s">
        <v>782</v>
      </c>
      <c r="P31" s="1078"/>
    </row>
    <row r="32" spans="1:25" s="377" customFormat="1" ht="27.6" customHeight="1" x14ac:dyDescent="0.25">
      <c r="A32" s="1373" t="s">
        <v>1448</v>
      </c>
      <c r="B32" s="1368" t="s">
        <v>771</v>
      </c>
      <c r="C32" s="1378" t="s">
        <v>772</v>
      </c>
      <c r="D32" s="834"/>
      <c r="E32" s="834"/>
      <c r="F32" s="834"/>
      <c r="G32" s="834"/>
      <c r="H32" s="834"/>
      <c r="I32" s="834"/>
      <c r="J32" s="834"/>
      <c r="K32" s="834"/>
      <c r="L32" s="1377">
        <v>411067.52</v>
      </c>
      <c r="M32" s="1377">
        <f>L32</f>
        <v>411067.52</v>
      </c>
      <c r="N32" s="2983">
        <f t="shared" si="0"/>
        <v>1</v>
      </c>
      <c r="O32" s="1543"/>
      <c r="P32" s="1514"/>
      <c r="Q32" s="102"/>
      <c r="R32" s="102"/>
      <c r="S32" s="102"/>
      <c r="T32" s="102"/>
      <c r="Y32" s="1538">
        <v>75370.744676000002</v>
      </c>
    </row>
    <row r="33" spans="1:25" s="377" customFormat="1" ht="27.6" customHeight="1" x14ac:dyDescent="0.25">
      <c r="A33" s="1371" t="s">
        <v>1462</v>
      </c>
      <c r="B33" s="1372" t="str">
        <f>B28</f>
        <v>NGUỒN THU SỬ DỤNG ĐẤT</v>
      </c>
      <c r="C33" s="1378"/>
      <c r="D33" s="834"/>
      <c r="E33" s="834"/>
      <c r="F33" s="834"/>
      <c r="G33" s="834"/>
      <c r="H33" s="834"/>
      <c r="I33" s="834"/>
      <c r="J33" s="834"/>
      <c r="K33" s="834"/>
      <c r="L33" s="830">
        <f>L34+L35</f>
        <v>666284.4</v>
      </c>
      <c r="M33" s="830">
        <f>M34+M35</f>
        <v>442309.4</v>
      </c>
      <c r="N33" s="2982">
        <f t="shared" si="0"/>
        <v>0.66384474857883513</v>
      </c>
      <c r="O33" s="1543"/>
      <c r="P33" s="1514"/>
      <c r="Q33" s="102"/>
      <c r="R33" s="102"/>
      <c r="S33" s="102"/>
      <c r="T33" s="102"/>
      <c r="Y33" s="1538">
        <f>Y32-M32</f>
        <v>-335696.77532400005</v>
      </c>
    </row>
    <row r="34" spans="1:25" s="377" customFormat="1" ht="32.25" customHeight="1" x14ac:dyDescent="0.25">
      <c r="A34" s="1373" t="s">
        <v>1448</v>
      </c>
      <c r="B34" s="1368" t="s">
        <v>775</v>
      </c>
      <c r="C34" s="1378"/>
      <c r="D34" s="834"/>
      <c r="E34" s="834"/>
      <c r="F34" s="834"/>
      <c r="G34" s="834"/>
      <c r="H34" s="834"/>
      <c r="I34" s="834"/>
      <c r="J34" s="834"/>
      <c r="K34" s="834"/>
      <c r="L34" s="1539">
        <v>547284.4</v>
      </c>
      <c r="M34" s="1376">
        <v>323309.40000000002</v>
      </c>
      <c r="N34" s="2982">
        <f t="shared" si="0"/>
        <v>0.59075208429109249</v>
      </c>
      <c r="O34" s="378" t="s">
        <v>782</v>
      </c>
      <c r="P34" s="1514"/>
      <c r="Q34" s="102"/>
      <c r="R34" s="102"/>
      <c r="S34" s="102"/>
      <c r="T34" s="102"/>
      <c r="Y34" s="1538"/>
    </row>
    <row r="35" spans="1:25" s="377" customFormat="1" ht="27.6" customHeight="1" x14ac:dyDescent="0.25">
      <c r="A35" s="1373" t="s">
        <v>1449</v>
      </c>
      <c r="B35" s="1368" t="s">
        <v>1463</v>
      </c>
      <c r="C35" s="1378"/>
      <c r="D35" s="834"/>
      <c r="E35" s="834"/>
      <c r="F35" s="834"/>
      <c r="G35" s="834"/>
      <c r="H35" s="834"/>
      <c r="I35" s="834"/>
      <c r="J35" s="834"/>
      <c r="K35" s="834"/>
      <c r="L35" s="1539">
        <v>119000</v>
      </c>
      <c r="M35" s="1377">
        <f>L35</f>
        <v>119000</v>
      </c>
      <c r="N35" s="2982">
        <f t="shared" si="0"/>
        <v>1</v>
      </c>
      <c r="O35" s="1518" t="s">
        <v>704</v>
      </c>
      <c r="P35" s="1514"/>
      <c r="Q35" s="102"/>
      <c r="R35" s="102"/>
      <c r="S35" s="102"/>
      <c r="T35" s="102"/>
    </row>
    <row r="36" spans="1:25" s="377" customFormat="1" ht="33.75" customHeight="1" x14ac:dyDescent="0.25">
      <c r="A36" s="1443" t="s">
        <v>4</v>
      </c>
      <c r="B36" s="1367" t="s">
        <v>1464</v>
      </c>
      <c r="C36" s="1379"/>
      <c r="D36" s="1540"/>
      <c r="E36" s="1444"/>
      <c r="F36" s="1444"/>
      <c r="G36" s="1444"/>
      <c r="H36" s="1541"/>
      <c r="I36" s="1444"/>
      <c r="J36" s="1444"/>
      <c r="K36" s="1444"/>
      <c r="L36" s="1557">
        <f>L37</f>
        <v>5000000</v>
      </c>
      <c r="M36" s="1557">
        <f>L36</f>
        <v>5000000</v>
      </c>
      <c r="N36" s="2982">
        <f t="shared" si="0"/>
        <v>1</v>
      </c>
      <c r="O36" s="1543" t="s">
        <v>704</v>
      </c>
      <c r="P36" s="1514"/>
      <c r="Q36" s="102"/>
      <c r="R36" s="102"/>
      <c r="S36" s="102"/>
      <c r="T36" s="102"/>
    </row>
    <row r="37" spans="1:25" s="377" customFormat="1" ht="38.25" customHeight="1" x14ac:dyDescent="0.25">
      <c r="A37" s="1379"/>
      <c r="B37" s="452" t="s">
        <v>1465</v>
      </c>
      <c r="C37" s="1378" t="s">
        <v>1466</v>
      </c>
      <c r="D37" s="1540"/>
      <c r="E37" s="1444"/>
      <c r="F37" s="1444"/>
      <c r="G37" s="1444"/>
      <c r="H37" s="1541"/>
      <c r="I37" s="1444"/>
      <c r="J37" s="1444"/>
      <c r="K37" s="1444"/>
      <c r="L37" s="1542">
        <v>5000000</v>
      </c>
      <c r="M37" s="1380">
        <f>L37</f>
        <v>5000000</v>
      </c>
      <c r="N37" s="2983">
        <f t="shared" si="0"/>
        <v>1</v>
      </c>
      <c r="O37" s="1543"/>
      <c r="P37" s="1514"/>
    </row>
    <row r="38" spans="1:25" s="377" customFormat="1" ht="41.25" customHeight="1" x14ac:dyDescent="0.25">
      <c r="A38" s="1443" t="s">
        <v>45</v>
      </c>
      <c r="B38" s="1367" t="s">
        <v>1481</v>
      </c>
      <c r="C38" s="1443"/>
      <c r="D38" s="1544">
        <f>D39+D49</f>
        <v>3231301.9010000001</v>
      </c>
      <c r="E38" s="1544">
        <f t="shared" ref="E38:M38" si="2">E39+E49</f>
        <v>0</v>
      </c>
      <c r="F38" s="1544">
        <f t="shared" si="2"/>
        <v>0</v>
      </c>
      <c r="G38" s="1544">
        <f t="shared" si="2"/>
        <v>0</v>
      </c>
      <c r="H38" s="1544">
        <f t="shared" si="2"/>
        <v>0</v>
      </c>
      <c r="I38" s="1544">
        <f t="shared" si="2"/>
        <v>0</v>
      </c>
      <c r="J38" s="1544">
        <f t="shared" si="2"/>
        <v>0</v>
      </c>
      <c r="K38" s="1544">
        <f t="shared" si="2"/>
        <v>0</v>
      </c>
      <c r="L38" s="1544">
        <f t="shared" si="2"/>
        <v>343685.27100000001</v>
      </c>
      <c r="M38" s="1544">
        <f t="shared" si="2"/>
        <v>286784.97399999999</v>
      </c>
      <c r="N38" s="2982">
        <f t="shared" si="0"/>
        <v>0.83444068803286009</v>
      </c>
    </row>
    <row r="39" spans="1:25" ht="33.75" customHeight="1" x14ac:dyDescent="0.25">
      <c r="A39" s="207" t="s">
        <v>5</v>
      </c>
      <c r="B39" s="393" t="s">
        <v>1439</v>
      </c>
      <c r="C39" s="1566"/>
      <c r="D39" s="1545">
        <f t="shared" ref="D39:K39" si="3">SUM(D40,D46)</f>
        <v>1734005.233</v>
      </c>
      <c r="E39" s="1393">
        <f t="shared" si="3"/>
        <v>0</v>
      </c>
      <c r="F39" s="1393">
        <f t="shared" si="3"/>
        <v>0</v>
      </c>
      <c r="G39" s="1393">
        <f t="shared" si="3"/>
        <v>0</v>
      </c>
      <c r="H39" s="1393">
        <f t="shared" si="3"/>
        <v>0</v>
      </c>
      <c r="I39" s="1393">
        <f t="shared" si="3"/>
        <v>0</v>
      </c>
      <c r="J39" s="1393">
        <f t="shared" si="3"/>
        <v>0</v>
      </c>
      <c r="K39" s="1393">
        <f t="shared" si="3"/>
        <v>0</v>
      </c>
      <c r="L39" s="1393">
        <f>L40+L46</f>
        <v>59400</v>
      </c>
      <c r="M39" s="1393">
        <f>M40+M46</f>
        <v>40550.830999999998</v>
      </c>
      <c r="N39" s="2982">
        <f t="shared" si="0"/>
        <v>0.68267392255892256</v>
      </c>
    </row>
    <row r="40" spans="1:25" ht="33.75" customHeight="1" x14ac:dyDescent="0.25">
      <c r="A40" s="1400">
        <v>1</v>
      </c>
      <c r="B40" s="393" t="s">
        <v>1470</v>
      </c>
      <c r="C40" s="1567"/>
      <c r="D40" s="1545">
        <f>SUM(D41:D45)</f>
        <v>1013419.128</v>
      </c>
      <c r="E40" s="1402"/>
      <c r="F40" s="1402"/>
      <c r="G40" s="1402"/>
      <c r="H40" s="1402"/>
      <c r="I40" s="1402"/>
      <c r="J40" s="1402"/>
      <c r="K40" s="1402"/>
      <c r="L40" s="1393">
        <f>L41+L42+L43+L44+L45</f>
        <v>57400</v>
      </c>
      <c r="M40" s="1393">
        <f>M41+M42+M43+M44+M45</f>
        <v>40550.830999999998</v>
      </c>
      <c r="N40" s="2982">
        <f t="shared" si="0"/>
        <v>0.7064604703832752</v>
      </c>
    </row>
    <row r="41" spans="1:25" ht="33.75" customHeight="1" x14ac:dyDescent="0.25">
      <c r="A41" s="400" t="s">
        <v>7</v>
      </c>
      <c r="B41" s="1553" t="s">
        <v>768</v>
      </c>
      <c r="C41" s="1567"/>
      <c r="D41" s="1546"/>
      <c r="E41" s="1402"/>
      <c r="F41" s="1402"/>
      <c r="G41" s="1402"/>
      <c r="H41" s="1402"/>
      <c r="I41" s="1402"/>
      <c r="J41" s="1402"/>
      <c r="K41" s="1402"/>
      <c r="L41" s="1547">
        <v>8800</v>
      </c>
      <c r="M41" s="1547">
        <v>4592.665</v>
      </c>
      <c r="N41" s="2982">
        <f t="shared" si="0"/>
        <v>0.52189375000000005</v>
      </c>
    </row>
    <row r="42" spans="1:25" ht="36" customHeight="1" x14ac:dyDescent="0.25">
      <c r="A42" s="400" t="s">
        <v>38</v>
      </c>
      <c r="B42" s="1553" t="s">
        <v>1471</v>
      </c>
      <c r="C42" s="1567"/>
      <c r="D42" s="1546"/>
      <c r="E42" s="1402"/>
      <c r="F42" s="1402"/>
      <c r="G42" s="1402"/>
      <c r="H42" s="1402"/>
      <c r="I42" s="1402"/>
      <c r="J42" s="1402"/>
      <c r="K42" s="1402"/>
      <c r="L42" s="1547">
        <v>10900</v>
      </c>
      <c r="M42" s="1547">
        <v>6642.2860000000001</v>
      </c>
      <c r="N42" s="2982">
        <f t="shared" si="0"/>
        <v>0.60938403669724772</v>
      </c>
    </row>
    <row r="43" spans="1:25" ht="36" customHeight="1" x14ac:dyDescent="0.25">
      <c r="A43" s="400" t="s">
        <v>39</v>
      </c>
      <c r="B43" s="1553" t="s">
        <v>1472</v>
      </c>
      <c r="C43" s="1568" t="s">
        <v>1473</v>
      </c>
      <c r="D43" s="1558">
        <v>525045.44700000004</v>
      </c>
      <c r="E43" s="1402"/>
      <c r="F43" s="1402"/>
      <c r="G43" s="1402"/>
      <c r="H43" s="1402"/>
      <c r="I43" s="1402"/>
      <c r="J43" s="1402"/>
      <c r="K43" s="1402"/>
      <c r="L43" s="1547">
        <v>11800</v>
      </c>
      <c r="M43" s="1547">
        <v>7729.7780000000002</v>
      </c>
      <c r="N43" s="2982">
        <f t="shared" si="0"/>
        <v>0.65506593220338982</v>
      </c>
    </row>
    <row r="44" spans="1:25" ht="36" customHeight="1" x14ac:dyDescent="0.25">
      <c r="A44" s="400" t="s">
        <v>40</v>
      </c>
      <c r="B44" s="1553" t="s">
        <v>1474</v>
      </c>
      <c r="C44" s="1568" t="s">
        <v>1475</v>
      </c>
      <c r="D44" s="1558">
        <v>195540.658</v>
      </c>
      <c r="E44" s="1402"/>
      <c r="F44" s="1402"/>
      <c r="G44" s="1402"/>
      <c r="H44" s="1402"/>
      <c r="I44" s="1402"/>
      <c r="J44" s="1402"/>
      <c r="K44" s="1402"/>
      <c r="L44" s="1547">
        <v>11700</v>
      </c>
      <c r="M44" s="1547">
        <v>11700</v>
      </c>
      <c r="N44" s="2982">
        <f t="shared" si="0"/>
        <v>1</v>
      </c>
    </row>
    <row r="45" spans="1:25" ht="30.75" customHeight="1" x14ac:dyDescent="0.25">
      <c r="A45" s="400" t="s">
        <v>41</v>
      </c>
      <c r="B45" s="1553" t="s">
        <v>1476</v>
      </c>
      <c r="C45" s="1568" t="s">
        <v>1477</v>
      </c>
      <c r="D45" s="1558">
        <v>292833.02299999999</v>
      </c>
      <c r="E45" s="1402"/>
      <c r="F45" s="1402"/>
      <c r="G45" s="1402"/>
      <c r="H45" s="1402"/>
      <c r="I45" s="1402"/>
      <c r="J45" s="1402"/>
      <c r="K45" s="1402"/>
      <c r="L45" s="1547">
        <v>14200</v>
      </c>
      <c r="M45" s="1547">
        <v>9886.1020000000008</v>
      </c>
      <c r="N45" s="2983">
        <f t="shared" si="0"/>
        <v>0.69620436619718318</v>
      </c>
    </row>
    <row r="46" spans="1:25" ht="30.75" customHeight="1" x14ac:dyDescent="0.25">
      <c r="A46" s="207">
        <v>2</v>
      </c>
      <c r="B46" s="393" t="s">
        <v>1478</v>
      </c>
      <c r="C46" s="1567"/>
      <c r="D46" s="1393">
        <f t="shared" ref="D46:K46" si="4">D47+D48</f>
        <v>720586.10499999998</v>
      </c>
      <c r="E46" s="1393">
        <f t="shared" si="4"/>
        <v>0</v>
      </c>
      <c r="F46" s="1393">
        <f t="shared" si="4"/>
        <v>0</v>
      </c>
      <c r="G46" s="1393">
        <f t="shared" si="4"/>
        <v>0</v>
      </c>
      <c r="H46" s="1393">
        <f t="shared" si="4"/>
        <v>0</v>
      </c>
      <c r="I46" s="1393">
        <f t="shared" si="4"/>
        <v>0</v>
      </c>
      <c r="J46" s="1393">
        <f t="shared" si="4"/>
        <v>0</v>
      </c>
      <c r="K46" s="1393">
        <f t="shared" si="4"/>
        <v>0</v>
      </c>
      <c r="L46" s="1393">
        <f>L47+L48</f>
        <v>2000</v>
      </c>
      <c r="M46" s="1393">
        <f>M47+M48</f>
        <v>0</v>
      </c>
      <c r="N46" s="2984">
        <f t="shared" si="0"/>
        <v>0</v>
      </c>
    </row>
    <row r="47" spans="1:25" ht="36" customHeight="1" x14ac:dyDescent="0.25">
      <c r="A47" s="1412" t="s">
        <v>43</v>
      </c>
      <c r="B47" s="1553" t="s">
        <v>1472</v>
      </c>
      <c r="C47" s="1568" t="s">
        <v>1473</v>
      </c>
      <c r="D47" s="1558">
        <v>525045.44700000004</v>
      </c>
      <c r="E47" s="1559"/>
      <c r="F47" s="1559"/>
      <c r="G47" s="1559"/>
      <c r="H47" s="1559"/>
      <c r="I47" s="1559"/>
      <c r="J47" s="1559"/>
      <c r="K47" s="1559"/>
      <c r="L47" s="1546">
        <v>1000</v>
      </c>
      <c r="M47" s="1546"/>
      <c r="N47" s="2984">
        <f t="shared" si="0"/>
        <v>0</v>
      </c>
    </row>
    <row r="48" spans="1:25" ht="36" customHeight="1" x14ac:dyDescent="0.25">
      <c r="A48" s="1412" t="s">
        <v>44</v>
      </c>
      <c r="B48" s="1553" t="s">
        <v>1474</v>
      </c>
      <c r="C48" s="1568" t="s">
        <v>1475</v>
      </c>
      <c r="D48" s="1558">
        <v>195540.658</v>
      </c>
      <c r="E48" s="1559"/>
      <c r="F48" s="1559"/>
      <c r="G48" s="1559"/>
      <c r="H48" s="1559"/>
      <c r="I48" s="1559"/>
      <c r="J48" s="1559"/>
      <c r="K48" s="1559"/>
      <c r="L48" s="1546">
        <v>1000</v>
      </c>
      <c r="M48" s="1559"/>
      <c r="N48" s="2984">
        <f t="shared" si="0"/>
        <v>0</v>
      </c>
    </row>
    <row r="49" spans="1:14" ht="36" customHeight="1" x14ac:dyDescent="0.25">
      <c r="A49" s="1360" t="s">
        <v>11</v>
      </c>
      <c r="B49" s="1361" t="s">
        <v>1452</v>
      </c>
      <c r="C49" s="1567"/>
      <c r="D49" s="1545">
        <f t="shared" ref="D49:K49" si="5">D50+D57</f>
        <v>1497296.6680000001</v>
      </c>
      <c r="E49" s="1545">
        <f t="shared" si="5"/>
        <v>0</v>
      </c>
      <c r="F49" s="1545">
        <f t="shared" si="5"/>
        <v>0</v>
      </c>
      <c r="G49" s="1545">
        <f t="shared" si="5"/>
        <v>0</v>
      </c>
      <c r="H49" s="1545">
        <f t="shared" si="5"/>
        <v>0</v>
      </c>
      <c r="I49" s="1545">
        <f t="shared" si="5"/>
        <v>0</v>
      </c>
      <c r="J49" s="1545">
        <f t="shared" si="5"/>
        <v>0</v>
      </c>
      <c r="K49" s="1545">
        <f t="shared" si="5"/>
        <v>0</v>
      </c>
      <c r="L49" s="1545">
        <f>L50+L57</f>
        <v>284285.27100000001</v>
      </c>
      <c r="M49" s="1560">
        <f>M50+M57</f>
        <v>246234.14300000001</v>
      </c>
      <c r="N49" s="2982">
        <f t="shared" si="0"/>
        <v>0.8661516023459408</v>
      </c>
    </row>
    <row r="50" spans="1:14" ht="30.75" customHeight="1" x14ac:dyDescent="0.25">
      <c r="A50" s="1400">
        <v>1</v>
      </c>
      <c r="B50" s="393" t="s">
        <v>1470</v>
      </c>
      <c r="C50" s="1567"/>
      <c r="D50" s="1545">
        <f t="shared" ref="D50:K50" si="6">SUM(D51:D56)</f>
        <v>1497296.6680000001</v>
      </c>
      <c r="E50" s="1545">
        <f t="shared" si="6"/>
        <v>0</v>
      </c>
      <c r="F50" s="1545">
        <f t="shared" si="6"/>
        <v>0</v>
      </c>
      <c r="G50" s="1545">
        <f t="shared" si="6"/>
        <v>0</v>
      </c>
      <c r="H50" s="1545">
        <f t="shared" si="6"/>
        <v>0</v>
      </c>
      <c r="I50" s="1545">
        <f t="shared" si="6"/>
        <v>0</v>
      </c>
      <c r="J50" s="1545">
        <f t="shared" si="6"/>
        <v>0</v>
      </c>
      <c r="K50" s="1545">
        <f t="shared" si="6"/>
        <v>0</v>
      </c>
      <c r="L50" s="1545">
        <f>SUM(L51:L56)</f>
        <v>268285.27100000001</v>
      </c>
      <c r="M50" s="1560">
        <f>SUM(M51:M56)</f>
        <v>242166.98300000001</v>
      </c>
      <c r="N50" s="2982">
        <f t="shared" si="0"/>
        <v>0.90264732796307701</v>
      </c>
    </row>
    <row r="51" spans="1:14" ht="30.75" customHeight="1" x14ac:dyDescent="0.25">
      <c r="A51" s="400" t="s">
        <v>7</v>
      </c>
      <c r="B51" s="1553" t="s">
        <v>768</v>
      </c>
      <c r="C51" s="1567"/>
      <c r="D51" s="1558"/>
      <c r="E51" s="1559"/>
      <c r="F51" s="1559"/>
      <c r="G51" s="1559"/>
      <c r="H51" s="1559"/>
      <c r="I51" s="1559"/>
      <c r="J51" s="1559"/>
      <c r="K51" s="1559"/>
      <c r="L51" s="1546">
        <v>36374.745999999999</v>
      </c>
      <c r="M51" s="1561">
        <f>L51</f>
        <v>36374.745999999999</v>
      </c>
      <c r="N51" s="2983">
        <f t="shared" si="0"/>
        <v>1</v>
      </c>
    </row>
    <row r="52" spans="1:14" ht="36" customHeight="1" x14ac:dyDescent="0.25">
      <c r="A52" s="400" t="s">
        <v>38</v>
      </c>
      <c r="B52" s="1553" t="s">
        <v>1471</v>
      </c>
      <c r="C52" s="1568" t="s">
        <v>1479</v>
      </c>
      <c r="D52" s="1561">
        <v>288336.88199999998</v>
      </c>
      <c r="E52" s="1559"/>
      <c r="F52" s="1559"/>
      <c r="G52" s="1559"/>
      <c r="H52" s="1559"/>
      <c r="I52" s="1559"/>
      <c r="J52" s="1559"/>
      <c r="K52" s="1559"/>
      <c r="L52" s="1546">
        <v>34484.665000000001</v>
      </c>
      <c r="M52" s="1562">
        <v>34484.665000000001</v>
      </c>
      <c r="N52" s="2983">
        <f t="shared" si="0"/>
        <v>1</v>
      </c>
    </row>
    <row r="53" spans="1:14" ht="36" customHeight="1" x14ac:dyDescent="0.25">
      <c r="A53" s="400" t="s">
        <v>39</v>
      </c>
      <c r="B53" s="1553" t="s">
        <v>1472</v>
      </c>
      <c r="C53" s="1568" t="s">
        <v>1473</v>
      </c>
      <c r="D53" s="1558">
        <v>525045.44700000004</v>
      </c>
      <c r="E53" s="1559"/>
      <c r="F53" s="1559"/>
      <c r="G53" s="1559"/>
      <c r="H53" s="1559"/>
      <c r="I53" s="1559"/>
      <c r="J53" s="1559"/>
      <c r="K53" s="1559"/>
      <c r="L53" s="1546">
        <v>76820.630999999994</v>
      </c>
      <c r="M53" s="1561">
        <v>74044.842000000004</v>
      </c>
      <c r="N53" s="2983">
        <f t="shared" si="0"/>
        <v>0.96386662067381368</v>
      </c>
    </row>
    <row r="54" spans="1:14" ht="36" customHeight="1" x14ac:dyDescent="0.25">
      <c r="A54" s="1426" t="s">
        <v>40</v>
      </c>
      <c r="B54" s="1554" t="s">
        <v>1474</v>
      </c>
      <c r="C54" s="1568" t="s">
        <v>1475</v>
      </c>
      <c r="D54" s="1558">
        <v>195540.658</v>
      </c>
      <c r="E54" s="1559"/>
      <c r="F54" s="1559"/>
      <c r="G54" s="1559"/>
      <c r="H54" s="1559"/>
      <c r="I54" s="1559"/>
      <c r="J54" s="1559"/>
      <c r="K54" s="1559"/>
      <c r="L54" s="1546">
        <v>14539.974</v>
      </c>
      <c r="M54" s="1561">
        <f>L54</f>
        <v>14539.974</v>
      </c>
      <c r="N54" s="2983">
        <f t="shared" si="0"/>
        <v>1</v>
      </c>
    </row>
    <row r="55" spans="1:14" ht="30.75" customHeight="1" x14ac:dyDescent="0.25">
      <c r="A55" s="400" t="s">
        <v>41</v>
      </c>
      <c r="B55" s="1555" t="s">
        <v>1480</v>
      </c>
      <c r="C55" s="1568" t="s">
        <v>1475</v>
      </c>
      <c r="D55" s="1558">
        <v>195540.658</v>
      </c>
      <c r="E55" s="1559"/>
      <c r="F55" s="1559"/>
      <c r="G55" s="1559"/>
      <c r="H55" s="1559"/>
      <c r="I55" s="1559"/>
      <c r="J55" s="1559"/>
      <c r="K55" s="1559"/>
      <c r="L55" s="1546">
        <v>70350.398000000001</v>
      </c>
      <c r="M55" s="1561">
        <v>47007.898999999998</v>
      </c>
      <c r="N55" s="2983">
        <f t="shared" si="0"/>
        <v>0.66819663195082413</v>
      </c>
    </row>
    <row r="56" spans="1:14" ht="30.75" customHeight="1" x14ac:dyDescent="0.25">
      <c r="A56" s="400" t="s">
        <v>42</v>
      </c>
      <c r="B56" s="1553" t="s">
        <v>1476</v>
      </c>
      <c r="C56" s="1568" t="s">
        <v>1477</v>
      </c>
      <c r="D56" s="1558">
        <v>292833.02299999999</v>
      </c>
      <c r="E56" s="1559"/>
      <c r="F56" s="1559"/>
      <c r="G56" s="1559"/>
      <c r="H56" s="1559"/>
      <c r="I56" s="1559"/>
      <c r="J56" s="1559"/>
      <c r="K56" s="1559"/>
      <c r="L56" s="1559">
        <v>35714.857000000004</v>
      </c>
      <c r="M56" s="1561">
        <f>L56</f>
        <v>35714.857000000004</v>
      </c>
      <c r="N56" s="2983">
        <f t="shared" si="0"/>
        <v>1</v>
      </c>
    </row>
    <row r="57" spans="1:14" ht="30.75" customHeight="1" x14ac:dyDescent="0.25">
      <c r="A57" s="207">
        <v>2</v>
      </c>
      <c r="B57" s="393" t="s">
        <v>1478</v>
      </c>
      <c r="C57" s="1567"/>
      <c r="D57" s="1558"/>
      <c r="E57" s="1559"/>
      <c r="F57" s="1559"/>
      <c r="G57" s="1559"/>
      <c r="H57" s="1559"/>
      <c r="I57" s="1559"/>
      <c r="J57" s="1559"/>
      <c r="K57" s="1559"/>
      <c r="L57" s="1563">
        <f>L58+L59</f>
        <v>16000</v>
      </c>
      <c r="M57" s="1564">
        <f>M58+M59</f>
        <v>4067.16</v>
      </c>
      <c r="N57" s="2982">
        <f t="shared" si="0"/>
        <v>0.25419749999999997</v>
      </c>
    </row>
    <row r="58" spans="1:14" ht="36" customHeight="1" x14ac:dyDescent="0.25">
      <c r="A58" s="1400" t="s">
        <v>43</v>
      </c>
      <c r="B58" s="1554" t="s">
        <v>1474</v>
      </c>
      <c r="C58" s="1568" t="s">
        <v>1475</v>
      </c>
      <c r="D58" s="1561">
        <v>195540.658</v>
      </c>
      <c r="E58" s="1559"/>
      <c r="F58" s="1559"/>
      <c r="G58" s="1559"/>
      <c r="H58" s="1559"/>
      <c r="I58" s="1559"/>
      <c r="J58" s="1559"/>
      <c r="K58" s="1559"/>
      <c r="L58" s="1559">
        <v>6000</v>
      </c>
      <c r="M58" s="1561">
        <v>4067.16</v>
      </c>
      <c r="N58" s="2983">
        <f t="shared" si="0"/>
        <v>0.67786000000000002</v>
      </c>
    </row>
    <row r="59" spans="1:14" ht="33" customHeight="1" x14ac:dyDescent="0.25">
      <c r="A59" s="1430" t="s">
        <v>44</v>
      </c>
      <c r="B59" s="1555" t="s">
        <v>1480</v>
      </c>
      <c r="C59" s="1568" t="s">
        <v>1475</v>
      </c>
      <c r="D59" s="1558">
        <v>195540.658</v>
      </c>
      <c r="E59" s="1559"/>
      <c r="F59" s="1559"/>
      <c r="G59" s="1559"/>
      <c r="H59" s="1559"/>
      <c r="I59" s="1559"/>
      <c r="J59" s="1559"/>
      <c r="K59" s="1559"/>
      <c r="L59" s="1559">
        <v>10000</v>
      </c>
      <c r="M59" s="1559"/>
      <c r="N59" s="2984">
        <f t="shared" si="0"/>
        <v>0</v>
      </c>
    </row>
  </sheetData>
  <mergeCells count="14">
    <mergeCell ref="M1:N1"/>
    <mergeCell ref="A6:A8"/>
    <mergeCell ref="B6:B8"/>
    <mergeCell ref="C7:C8"/>
    <mergeCell ref="A3:N3"/>
    <mergeCell ref="A4:M4"/>
    <mergeCell ref="J6:J8"/>
    <mergeCell ref="K6:K8"/>
    <mergeCell ref="L6:L8"/>
    <mergeCell ref="M6:M8"/>
    <mergeCell ref="N6:N8"/>
    <mergeCell ref="M5:N5"/>
    <mergeCell ref="A2:N2"/>
    <mergeCell ref="A1:B1"/>
  </mergeCells>
  <phoneticPr fontId="70" type="noConversion"/>
  <printOptions horizontalCentered="1"/>
  <pageMargins left="0.43307086614173201" right="0.39370078740157499" top="0.55118110236220497" bottom="0.55118110236220497" header="0.31496062992126" footer="0.31496062992126"/>
  <pageSetup paperSize="9" scale="75" firstPageNumber="27" orientation="landscape" useFirstPageNumber="1" r:id="rId1"/>
  <headerFoot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43E1B-9087-4DC1-9888-67B158A0C111}">
  <sheetPr>
    <tabColor theme="3" tint="0.39997558519241921"/>
  </sheetPr>
  <dimension ref="A1:AF16"/>
  <sheetViews>
    <sheetView zoomScaleNormal="100" zoomScaleSheetLayoutView="70" workbookViewId="0">
      <selection activeCell="O9" sqref="O9"/>
    </sheetView>
  </sheetViews>
  <sheetFormatPr defaultColWidth="9.140625" defaultRowHeight="15.75" x14ac:dyDescent="0.25"/>
  <cols>
    <col min="1" max="1" width="5.85546875" style="880" customWidth="1"/>
    <col min="2" max="2" width="35.42578125" style="880" customWidth="1"/>
    <col min="3" max="3" width="32.85546875" style="880" customWidth="1"/>
    <col min="4" max="4" width="16.140625" style="954" customWidth="1"/>
    <col min="5" max="5" width="12.28515625" style="880" hidden="1" customWidth="1"/>
    <col min="6" max="6" width="7.5703125" style="880" hidden="1" customWidth="1"/>
    <col min="7" max="7" width="11.28515625" style="880" hidden="1" customWidth="1"/>
    <col min="8" max="8" width="1.140625" style="886" hidden="1" customWidth="1"/>
    <col min="9" max="9" width="6.5703125" style="880" hidden="1" customWidth="1"/>
    <col min="10" max="10" width="12.5703125" style="880" hidden="1" customWidth="1"/>
    <col min="11" max="11" width="14.42578125" style="880" hidden="1" customWidth="1"/>
    <col min="12" max="12" width="16.42578125" style="880" customWidth="1"/>
    <col min="13" max="13" width="16.42578125" style="2972" customWidth="1"/>
    <col min="14" max="14" width="11.28515625" style="2973" customWidth="1"/>
    <col min="15" max="15" width="18.85546875" style="880" customWidth="1"/>
    <col min="16" max="16" width="13.42578125" style="880" customWidth="1"/>
    <col min="17" max="17" width="21.7109375" style="880" customWidth="1"/>
    <col min="18" max="18" width="20.28515625" style="880" customWidth="1"/>
    <col min="19" max="19" width="23.140625" style="880" customWidth="1"/>
    <col min="20" max="20" width="15.42578125" style="880" customWidth="1"/>
    <col min="21" max="21" width="11.85546875" style="880" customWidth="1"/>
    <col min="22" max="22" width="18.140625" style="880" customWidth="1"/>
    <col min="23" max="23" width="12" style="880" customWidth="1"/>
    <col min="24" max="24" width="18.7109375" style="880" customWidth="1"/>
    <col min="25" max="25" width="24" style="880" customWidth="1"/>
    <col min="26" max="26" width="19.5703125" style="880" customWidth="1"/>
    <col min="27" max="27" width="0.28515625" style="880" customWidth="1"/>
    <col min="28" max="28" width="5.7109375" style="880" customWidth="1"/>
    <col min="29" max="29" width="9.140625" style="880"/>
    <col min="30" max="30" width="12.28515625" style="880" customWidth="1"/>
    <col min="31" max="31" width="9.140625" style="880"/>
    <col min="32" max="32" width="15.140625" style="880" bestFit="1" customWidth="1"/>
    <col min="33" max="16384" width="9.140625" style="880"/>
  </cols>
  <sheetData>
    <row r="1" spans="1:32" x14ac:dyDescent="0.25">
      <c r="A1" s="2940" t="s">
        <v>1186</v>
      </c>
      <c r="M1" s="3231" t="s">
        <v>2319</v>
      </c>
      <c r="N1" s="3231"/>
      <c r="W1" s="880" t="s">
        <v>974</v>
      </c>
    </row>
    <row r="2" spans="1:32" x14ac:dyDescent="0.25">
      <c r="A2" s="3232"/>
      <c r="B2" s="3232"/>
      <c r="C2" s="3232"/>
      <c r="D2" s="3232"/>
      <c r="E2" s="3232"/>
      <c r="F2" s="3232"/>
      <c r="G2" s="3232"/>
      <c r="H2" s="3232"/>
      <c r="I2" s="3232"/>
      <c r="J2" s="3232"/>
      <c r="K2" s="3232"/>
      <c r="L2" s="3232"/>
      <c r="M2" s="3232"/>
      <c r="N2" s="3232"/>
    </row>
    <row r="3" spans="1:32" ht="44.25" customHeight="1" x14ac:dyDescent="0.25">
      <c r="A3" s="3213" t="s">
        <v>2314</v>
      </c>
      <c r="B3" s="3213"/>
      <c r="C3" s="3213"/>
      <c r="D3" s="3213"/>
      <c r="E3" s="3213"/>
      <c r="F3" s="3213"/>
      <c r="G3" s="3213"/>
      <c r="H3" s="3213"/>
      <c r="I3" s="3213"/>
      <c r="J3" s="3213"/>
      <c r="K3" s="3213"/>
      <c r="L3" s="3213"/>
      <c r="M3" s="3213"/>
      <c r="N3" s="3213"/>
    </row>
    <row r="4" spans="1:32" ht="21.75" customHeight="1" x14ac:dyDescent="0.25">
      <c r="A4" s="3233" t="str">
        <f>'62_NĐ31'!A4:M4</f>
        <v>(Kèm theo Quyết định số          /QĐ-UBND ngày          /4/2026 của UBND phường Bắc Kạn)</v>
      </c>
      <c r="B4" s="3233"/>
      <c r="C4" s="3233"/>
      <c r="D4" s="3233"/>
      <c r="E4" s="3233"/>
      <c r="F4" s="3233"/>
      <c r="G4" s="3233"/>
      <c r="H4" s="3233"/>
      <c r="I4" s="3233"/>
      <c r="J4" s="3233"/>
      <c r="K4" s="3233"/>
      <c r="L4" s="3233"/>
      <c r="M4" s="3233"/>
      <c r="N4" s="3233"/>
    </row>
    <row r="5" spans="1:32" ht="21.75" customHeight="1" x14ac:dyDescent="0.25">
      <c r="L5" s="2941"/>
      <c r="M5" s="3234" t="s">
        <v>1187</v>
      </c>
      <c r="N5" s="3234"/>
    </row>
    <row r="6" spans="1:32" ht="24" customHeight="1" x14ac:dyDescent="0.25">
      <c r="A6" s="3228" t="s">
        <v>0</v>
      </c>
      <c r="B6" s="3228" t="s">
        <v>54</v>
      </c>
      <c r="C6" s="879" t="s">
        <v>478</v>
      </c>
      <c r="D6" s="879"/>
      <c r="E6" s="879"/>
      <c r="F6" s="879"/>
      <c r="G6" s="879"/>
      <c r="H6" s="879"/>
      <c r="I6" s="879"/>
      <c r="J6" s="3214" t="s">
        <v>769</v>
      </c>
      <c r="K6" s="3214" t="s">
        <v>770</v>
      </c>
      <c r="L6" s="3214" t="s">
        <v>2315</v>
      </c>
      <c r="M6" s="3214" t="s">
        <v>1100</v>
      </c>
      <c r="N6" s="3227" t="s">
        <v>414</v>
      </c>
    </row>
    <row r="7" spans="1:32" ht="31.5" x14ac:dyDescent="0.25">
      <c r="A7" s="3230"/>
      <c r="B7" s="3230"/>
      <c r="C7" s="3228" t="s">
        <v>479</v>
      </c>
      <c r="D7" s="879" t="s">
        <v>480</v>
      </c>
      <c r="E7" s="879"/>
      <c r="F7" s="879"/>
      <c r="G7" s="879"/>
      <c r="H7" s="879"/>
      <c r="I7" s="879"/>
      <c r="J7" s="3214"/>
      <c r="K7" s="3214"/>
      <c r="L7" s="3214"/>
      <c r="M7" s="3214"/>
      <c r="N7" s="3227"/>
    </row>
    <row r="8" spans="1:32" ht="47.25" x14ac:dyDescent="0.25">
      <c r="A8" s="3229"/>
      <c r="B8" s="3229"/>
      <c r="C8" s="3229"/>
      <c r="D8" s="885" t="s">
        <v>56</v>
      </c>
      <c r="E8" s="879" t="s">
        <v>481</v>
      </c>
      <c r="F8" s="879"/>
      <c r="G8" s="879"/>
      <c r="H8" s="879"/>
      <c r="I8" s="879"/>
      <c r="J8" s="3214"/>
      <c r="K8" s="3214"/>
      <c r="L8" s="3214"/>
      <c r="M8" s="3214"/>
      <c r="N8" s="3227"/>
      <c r="O8" s="2942"/>
      <c r="P8" s="2943"/>
    </row>
    <row r="9" spans="1:32" ht="21" customHeight="1" x14ac:dyDescent="0.25">
      <c r="A9" s="879" t="s">
        <v>3</v>
      </c>
      <c r="B9" s="879" t="s">
        <v>4</v>
      </c>
      <c r="C9" s="879">
        <v>1</v>
      </c>
      <c r="D9" s="2944">
        <v>2</v>
      </c>
      <c r="E9" s="2945">
        <v>6</v>
      </c>
      <c r="F9" s="2945">
        <v>7</v>
      </c>
      <c r="G9" s="2945">
        <v>8</v>
      </c>
      <c r="H9" s="2945">
        <v>3</v>
      </c>
      <c r="I9" s="879">
        <v>4</v>
      </c>
      <c r="J9" s="879">
        <v>5</v>
      </c>
      <c r="K9" s="879">
        <v>6</v>
      </c>
      <c r="L9" s="879">
        <v>3</v>
      </c>
      <c r="M9" s="879">
        <v>4</v>
      </c>
      <c r="N9" s="2946">
        <v>5</v>
      </c>
      <c r="O9" s="2947"/>
      <c r="R9" s="2948"/>
      <c r="S9" s="886"/>
      <c r="T9" s="886"/>
    </row>
    <row r="10" spans="1:32" s="2940" customFormat="1" ht="21" customHeight="1" x14ac:dyDescent="0.25">
      <c r="A10" s="2949"/>
      <c r="B10" s="879" t="s">
        <v>2316</v>
      </c>
      <c r="C10" s="879"/>
      <c r="D10" s="2950"/>
      <c r="E10" s="2950"/>
      <c r="F10" s="2950"/>
      <c r="G10" s="2950"/>
      <c r="H10" s="2950"/>
      <c r="I10" s="2950"/>
      <c r="J10" s="2950"/>
      <c r="K10" s="2950"/>
      <c r="L10" s="2951">
        <f>L11+L13</f>
        <v>1077351.92</v>
      </c>
      <c r="M10" s="2951">
        <f t="shared" ref="M10:N10" si="0">M11+M13</f>
        <v>853376.92</v>
      </c>
      <c r="N10" s="2951">
        <f t="shared" si="0"/>
        <v>166.3844748578835</v>
      </c>
      <c r="O10" s="2952"/>
      <c r="P10" s="2953"/>
      <c r="R10" s="880"/>
      <c r="S10" s="880"/>
      <c r="T10" s="880"/>
      <c r="Z10" s="2954"/>
      <c r="AF10" s="2953">
        <v>124924</v>
      </c>
    </row>
    <row r="11" spans="1:32" s="2940" customFormat="1" ht="36.75" customHeight="1" x14ac:dyDescent="0.25">
      <c r="A11" s="1360" t="s">
        <v>5</v>
      </c>
      <c r="B11" s="1361" t="s">
        <v>1461</v>
      </c>
      <c r="C11" s="2955"/>
      <c r="D11" s="203"/>
      <c r="E11" s="203"/>
      <c r="F11" s="203"/>
      <c r="G11" s="203"/>
      <c r="H11" s="203"/>
      <c r="I11" s="203"/>
      <c r="J11" s="203"/>
      <c r="K11" s="203"/>
      <c r="L11" s="441">
        <f>L12</f>
        <v>411067.52</v>
      </c>
      <c r="M11" s="441">
        <f>M12</f>
        <v>411067.52</v>
      </c>
      <c r="N11" s="2956">
        <f t="shared" ref="N11:N15" si="1">M11/L11*100</f>
        <v>100</v>
      </c>
      <c r="O11" s="2957"/>
      <c r="P11" s="2958"/>
      <c r="Q11" s="880"/>
      <c r="R11" s="2959"/>
      <c r="S11" s="2960"/>
      <c r="T11" s="2960"/>
      <c r="U11" s="2961"/>
      <c r="Y11" s="2958"/>
      <c r="Z11" s="2962"/>
    </row>
    <row r="12" spans="1:32" s="2940" customFormat="1" ht="51" customHeight="1" x14ac:dyDescent="0.25">
      <c r="A12" s="2963" t="s">
        <v>1448</v>
      </c>
      <c r="B12" s="2964" t="s">
        <v>771</v>
      </c>
      <c r="C12" s="2965" t="s">
        <v>2317</v>
      </c>
      <c r="D12" s="116">
        <v>9236109.9049999993</v>
      </c>
      <c r="E12" s="203"/>
      <c r="F12" s="203"/>
      <c r="G12" s="203"/>
      <c r="H12" s="203"/>
      <c r="I12" s="203"/>
      <c r="J12" s="203"/>
      <c r="K12" s="203"/>
      <c r="L12" s="2956">
        <v>411067.52</v>
      </c>
      <c r="M12" s="2956">
        <f>L12</f>
        <v>411067.52</v>
      </c>
      <c r="N12" s="2956">
        <f t="shared" si="1"/>
        <v>100</v>
      </c>
      <c r="O12" s="2957"/>
      <c r="P12" s="2958"/>
      <c r="Q12" s="880"/>
      <c r="R12" s="2959"/>
      <c r="S12" s="2960"/>
      <c r="T12" s="2960"/>
      <c r="U12" s="2961"/>
      <c r="Y12" s="2958"/>
      <c r="Z12" s="2962"/>
    </row>
    <row r="13" spans="1:32" s="2940" customFormat="1" ht="36.75" customHeight="1" x14ac:dyDescent="0.25">
      <c r="A13" s="1360" t="s">
        <v>11</v>
      </c>
      <c r="B13" s="1361" t="s">
        <v>1447</v>
      </c>
      <c r="C13" s="2955"/>
      <c r="D13" s="203"/>
      <c r="E13" s="203"/>
      <c r="F13" s="203"/>
      <c r="G13" s="203"/>
      <c r="H13" s="203"/>
      <c r="I13" s="203"/>
      <c r="J13" s="203"/>
      <c r="K13" s="203"/>
      <c r="L13" s="441">
        <f>L14+L15</f>
        <v>666284.4</v>
      </c>
      <c r="M13" s="441">
        <f>M14+M15</f>
        <v>442309.4</v>
      </c>
      <c r="N13" s="441">
        <f t="shared" si="1"/>
        <v>66.384474857883518</v>
      </c>
      <c r="O13" s="2957"/>
      <c r="P13" s="2958"/>
      <c r="Q13" s="880"/>
      <c r="R13" s="2959"/>
      <c r="S13" s="2960"/>
      <c r="T13" s="2960"/>
      <c r="U13" s="2961"/>
      <c r="Y13" s="2958"/>
      <c r="Z13" s="2962"/>
    </row>
    <row r="14" spans="1:32" s="377" customFormat="1" ht="36.75" customHeight="1" x14ac:dyDescent="0.25">
      <c r="A14" s="1373" t="s">
        <v>1448</v>
      </c>
      <c r="B14" s="1368" t="s">
        <v>775</v>
      </c>
      <c r="C14" s="1378" t="s">
        <v>2318</v>
      </c>
      <c r="D14" s="85">
        <v>85137368</v>
      </c>
      <c r="E14" s="85"/>
      <c r="F14" s="85"/>
      <c r="G14" s="85"/>
      <c r="H14" s="85"/>
      <c r="I14" s="85"/>
      <c r="J14" s="85"/>
      <c r="K14" s="85"/>
      <c r="L14" s="2966">
        <v>547284.4</v>
      </c>
      <c r="M14" s="2967">
        <v>323309.40000000002</v>
      </c>
      <c r="N14" s="2355">
        <f t="shared" si="1"/>
        <v>59.075208429109253</v>
      </c>
      <c r="O14" s="2968"/>
      <c r="P14" s="2969"/>
      <c r="Q14" s="102"/>
      <c r="R14" s="958"/>
      <c r="S14" s="960"/>
      <c r="T14" s="960"/>
      <c r="U14" s="959"/>
      <c r="Y14" s="2969"/>
      <c r="Z14" s="2970"/>
    </row>
    <row r="15" spans="1:32" s="377" customFormat="1" ht="36.75" customHeight="1" x14ac:dyDescent="0.25">
      <c r="A15" s="1373" t="s">
        <v>1449</v>
      </c>
      <c r="B15" s="1368" t="s">
        <v>1463</v>
      </c>
      <c r="C15" s="1378" t="s">
        <v>1445</v>
      </c>
      <c r="D15" s="116">
        <v>26948000</v>
      </c>
      <c r="E15" s="116"/>
      <c r="F15" s="85"/>
      <c r="G15" s="85"/>
      <c r="H15" s="85"/>
      <c r="I15" s="85"/>
      <c r="J15" s="85"/>
      <c r="K15" s="85"/>
      <c r="L15" s="2966">
        <v>119000</v>
      </c>
      <c r="M15" s="1522">
        <f>L15</f>
        <v>119000</v>
      </c>
      <c r="N15" s="2355">
        <f t="shared" si="1"/>
        <v>100</v>
      </c>
      <c r="O15" s="2968"/>
      <c r="P15" s="2969"/>
      <c r="Q15" s="102"/>
      <c r="R15" s="958"/>
      <c r="S15" s="960"/>
      <c r="T15" s="960"/>
      <c r="U15" s="959"/>
      <c r="Y15" s="2969"/>
      <c r="Z15" s="2970"/>
    </row>
    <row r="16" spans="1:32" s="102" customFormat="1" x14ac:dyDescent="0.25">
      <c r="D16" s="669"/>
      <c r="H16" s="378"/>
      <c r="M16" s="578"/>
      <c r="N16" s="2971"/>
    </row>
  </sheetData>
  <mergeCells count="13">
    <mergeCell ref="M1:N1"/>
    <mergeCell ref="A2:N2"/>
    <mergeCell ref="A3:N3"/>
    <mergeCell ref="A4:N4"/>
    <mergeCell ref="M5:N5"/>
    <mergeCell ref="M6:M8"/>
    <mergeCell ref="N6:N8"/>
    <mergeCell ref="C7:C8"/>
    <mergeCell ref="A6:A8"/>
    <mergeCell ref="B6:B8"/>
    <mergeCell ref="J6:J8"/>
    <mergeCell ref="K6:K8"/>
    <mergeCell ref="L6:L8"/>
  </mergeCells>
  <pageMargins left="0.45" right="0.2" top="0.52" bottom="0.5" header="0.3" footer="0.3"/>
  <pageSetup paperSize="9" firstPageNumber="31" orientation="landscape" useFirstPageNumber="1" verticalDpi="0" r:id="rId1"/>
  <headerFoot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E4049-A127-43E3-B4CC-05EE3D561E08}">
  <sheetPr>
    <tabColor theme="3" tint="0.39997558519241921"/>
  </sheetPr>
  <dimension ref="A1:R42"/>
  <sheetViews>
    <sheetView zoomScaleNormal="100" zoomScaleSheetLayoutView="80" workbookViewId="0">
      <selection activeCell="D18" sqref="D18"/>
    </sheetView>
  </sheetViews>
  <sheetFormatPr defaultColWidth="9.140625" defaultRowHeight="12.75" x14ac:dyDescent="0.2"/>
  <cols>
    <col min="1" max="1" width="6.85546875" style="42" customWidth="1"/>
    <col min="2" max="2" width="50.7109375" style="42" customWidth="1"/>
    <col min="3" max="3" width="20.42578125" style="42" customWidth="1"/>
    <col min="4" max="4" width="19.5703125" style="2906" customWidth="1"/>
    <col min="5" max="5" width="12.28515625" style="42" hidden="1" customWidth="1"/>
    <col min="6" max="6" width="7.5703125" style="42" hidden="1" customWidth="1"/>
    <col min="7" max="7" width="11.28515625" style="42" hidden="1" customWidth="1"/>
    <col min="8" max="8" width="1.140625" style="2907" hidden="1" customWidth="1"/>
    <col min="9" max="9" width="6.5703125" style="42" hidden="1" customWidth="1"/>
    <col min="10" max="10" width="11.85546875" style="42" hidden="1" customWidth="1"/>
    <col min="11" max="11" width="11.28515625" style="42" hidden="1" customWidth="1"/>
    <col min="12" max="12" width="17.5703125" style="42" customWidth="1"/>
    <col min="13" max="13" width="16.140625" style="2938" customWidth="1"/>
    <col min="14" max="14" width="11.5703125" style="2939" customWidth="1"/>
    <col min="15" max="15" width="17.5703125" style="42" hidden="1" customWidth="1"/>
    <col min="16" max="16" width="12.42578125" style="42" hidden="1" customWidth="1"/>
    <col min="17" max="17" width="0" style="42" hidden="1" customWidth="1"/>
    <col min="18" max="18" width="18.140625" style="42" hidden="1" customWidth="1"/>
    <col min="19" max="19" width="0" style="42" hidden="1" customWidth="1"/>
    <col min="20" max="16384" width="9.140625" style="42"/>
  </cols>
  <sheetData>
    <row r="1" spans="1:18" ht="14.25" x14ac:dyDescent="0.2">
      <c r="A1" s="193" t="s">
        <v>1186</v>
      </c>
      <c r="M1" s="3235" t="s">
        <v>2313</v>
      </c>
      <c r="N1" s="3235"/>
    </row>
    <row r="2" spans="1:18" x14ac:dyDescent="0.2">
      <c r="A2" s="3236"/>
      <c r="B2" s="3236"/>
      <c r="C2" s="3236"/>
      <c r="D2" s="3236"/>
      <c r="E2" s="3236"/>
      <c r="F2" s="3236"/>
      <c r="G2" s="3236"/>
      <c r="H2" s="3236"/>
      <c r="I2" s="3236"/>
      <c r="J2" s="3236"/>
      <c r="K2" s="3236"/>
      <c r="L2" s="3236"/>
      <c r="M2" s="3236"/>
      <c r="N2" s="3236"/>
    </row>
    <row r="3" spans="1:18" ht="15.75" x14ac:dyDescent="0.2">
      <c r="A3" s="3213" t="s">
        <v>1469</v>
      </c>
      <c r="B3" s="3213"/>
      <c r="C3" s="3213"/>
      <c r="D3" s="3213"/>
      <c r="E3" s="3213"/>
      <c r="F3" s="3213"/>
      <c r="G3" s="3213"/>
      <c r="H3" s="3213"/>
      <c r="I3" s="3213"/>
      <c r="J3" s="3213"/>
      <c r="K3" s="3213"/>
      <c r="L3" s="3213"/>
      <c r="M3" s="3213"/>
      <c r="N3" s="3213"/>
    </row>
    <row r="4" spans="1:18" ht="14.25" customHeight="1" x14ac:dyDescent="0.2">
      <c r="L4" s="2908"/>
      <c r="M4" s="3237" t="s">
        <v>1187</v>
      </c>
      <c r="N4" s="3237"/>
    </row>
    <row r="5" spans="1:18" ht="24" customHeight="1" x14ac:dyDescent="0.2">
      <c r="A5" s="331" t="s">
        <v>0</v>
      </c>
      <c r="B5" s="331" t="s">
        <v>54</v>
      </c>
      <c r="C5" s="331" t="s">
        <v>478</v>
      </c>
      <c r="D5" s="331"/>
      <c r="E5" s="331"/>
      <c r="F5" s="331"/>
      <c r="G5" s="331"/>
      <c r="H5" s="331"/>
      <c r="I5" s="331"/>
      <c r="J5" s="3238" t="s">
        <v>769</v>
      </c>
      <c r="K5" s="3238" t="s">
        <v>770</v>
      </c>
      <c r="L5" s="3238" t="s">
        <v>1099</v>
      </c>
      <c r="M5" s="3238" t="s">
        <v>1100</v>
      </c>
      <c r="N5" s="3239" t="s">
        <v>414</v>
      </c>
    </row>
    <row r="6" spans="1:18" ht="30" customHeight="1" x14ac:dyDescent="0.2">
      <c r="A6" s="331"/>
      <c r="B6" s="331"/>
      <c r="C6" s="331" t="s">
        <v>479</v>
      </c>
      <c r="D6" s="331" t="s">
        <v>480</v>
      </c>
      <c r="E6" s="331"/>
      <c r="F6" s="331"/>
      <c r="G6" s="331"/>
      <c r="H6" s="331"/>
      <c r="I6" s="331"/>
      <c r="J6" s="3238"/>
      <c r="K6" s="3238"/>
      <c r="L6" s="3238"/>
      <c r="M6" s="3238"/>
      <c r="N6" s="3239"/>
    </row>
    <row r="7" spans="1:18" ht="30" customHeight="1" x14ac:dyDescent="0.2">
      <c r="A7" s="331"/>
      <c r="B7" s="331"/>
      <c r="C7" s="331"/>
      <c r="D7" s="2910" t="s">
        <v>56</v>
      </c>
      <c r="E7" s="331" t="s">
        <v>481</v>
      </c>
      <c r="F7" s="331"/>
      <c r="G7" s="331"/>
      <c r="H7" s="331"/>
      <c r="I7" s="331"/>
      <c r="J7" s="3238"/>
      <c r="K7" s="3238"/>
      <c r="L7" s="3238"/>
      <c r="M7" s="3238"/>
      <c r="N7" s="3239"/>
    </row>
    <row r="8" spans="1:18" ht="18" customHeight="1" x14ac:dyDescent="0.2">
      <c r="A8" s="331" t="s">
        <v>3</v>
      </c>
      <c r="B8" s="331" t="s">
        <v>4</v>
      </c>
      <c r="C8" s="331">
        <v>1</v>
      </c>
      <c r="D8" s="2911">
        <v>2</v>
      </c>
      <c r="E8" s="2912">
        <v>6</v>
      </c>
      <c r="F8" s="2912">
        <v>7</v>
      </c>
      <c r="G8" s="2912">
        <v>8</v>
      </c>
      <c r="H8" s="2912">
        <v>3</v>
      </c>
      <c r="I8" s="331">
        <v>4</v>
      </c>
      <c r="J8" s="331">
        <v>5</v>
      </c>
      <c r="K8" s="331">
        <v>6</v>
      </c>
      <c r="L8" s="331">
        <v>7</v>
      </c>
      <c r="M8" s="331">
        <v>8</v>
      </c>
      <c r="N8" s="2909" t="s">
        <v>607</v>
      </c>
    </row>
    <row r="9" spans="1:18" s="2986" customFormat="1" ht="33" customHeight="1" x14ac:dyDescent="0.25">
      <c r="A9" s="2913"/>
      <c r="B9" s="331" t="s">
        <v>29</v>
      </c>
      <c r="C9" s="331"/>
      <c r="D9" s="2914">
        <f t="shared" ref="D9:K9" si="0">D10+D20</f>
        <v>3231301.9010000001</v>
      </c>
      <c r="E9" s="2914">
        <f t="shared" si="0"/>
        <v>0</v>
      </c>
      <c r="F9" s="2914">
        <f t="shared" si="0"/>
        <v>0</v>
      </c>
      <c r="G9" s="2914">
        <f t="shared" si="0"/>
        <v>0</v>
      </c>
      <c r="H9" s="2914">
        <f t="shared" si="0"/>
        <v>0</v>
      </c>
      <c r="I9" s="2914">
        <f t="shared" si="0"/>
        <v>0</v>
      </c>
      <c r="J9" s="2914">
        <f t="shared" si="0"/>
        <v>0</v>
      </c>
      <c r="K9" s="2914">
        <f t="shared" si="0"/>
        <v>0</v>
      </c>
      <c r="L9" s="2915">
        <f>L10+L20</f>
        <v>343685.27100000001</v>
      </c>
      <c r="M9" s="2914">
        <f>M10+M20</f>
        <v>286784.97399999999</v>
      </c>
      <c r="N9" s="2916">
        <f>M9/L9*100</f>
        <v>83.444068803286015</v>
      </c>
      <c r="O9" s="2985"/>
    </row>
    <row r="10" spans="1:18" s="2986" customFormat="1" ht="33" customHeight="1" x14ac:dyDescent="0.25">
      <c r="A10" s="2917" t="s">
        <v>5</v>
      </c>
      <c r="B10" s="2918" t="s">
        <v>1439</v>
      </c>
      <c r="C10" s="2919"/>
      <c r="D10" s="2920">
        <f t="shared" ref="D10:K10" si="1">SUM(D11,D17)</f>
        <v>1734005.233</v>
      </c>
      <c r="E10" s="2921">
        <f t="shared" si="1"/>
        <v>0</v>
      </c>
      <c r="F10" s="2921">
        <f t="shared" si="1"/>
        <v>0</v>
      </c>
      <c r="G10" s="2921">
        <f t="shared" si="1"/>
        <v>0</v>
      </c>
      <c r="H10" s="2921">
        <f t="shared" si="1"/>
        <v>0</v>
      </c>
      <c r="I10" s="2921">
        <f t="shared" si="1"/>
        <v>0</v>
      </c>
      <c r="J10" s="2921">
        <f t="shared" si="1"/>
        <v>0</v>
      </c>
      <c r="K10" s="2921">
        <f t="shared" si="1"/>
        <v>0</v>
      </c>
      <c r="L10" s="2920">
        <f>L11+L17</f>
        <v>59400</v>
      </c>
      <c r="M10" s="2920">
        <f>M11+M17</f>
        <v>40550.830999999998</v>
      </c>
      <c r="N10" s="2922">
        <f t="shared" ref="N10:N30" si="2">M10/L10*100</f>
        <v>68.267392255892261</v>
      </c>
      <c r="O10" s="2987"/>
    </row>
    <row r="11" spans="1:18" s="2989" customFormat="1" ht="33" customHeight="1" x14ac:dyDescent="0.25">
      <c r="A11" s="2923">
        <v>1</v>
      </c>
      <c r="B11" s="2918" t="s">
        <v>1470</v>
      </c>
      <c r="C11" s="2924"/>
      <c r="D11" s="2920">
        <f>SUM(D12:D16)</f>
        <v>1013419.128</v>
      </c>
      <c r="E11" s="2925"/>
      <c r="F11" s="2925"/>
      <c r="G11" s="2925"/>
      <c r="H11" s="2925"/>
      <c r="I11" s="2925"/>
      <c r="J11" s="2925"/>
      <c r="K11" s="2925"/>
      <c r="L11" s="2920">
        <f>L12+L13+L14+L15+L16</f>
        <v>57400</v>
      </c>
      <c r="M11" s="2920">
        <f>M12+M13+M14+M15+M16</f>
        <v>40550.830999999998</v>
      </c>
      <c r="N11" s="2922">
        <f t="shared" si="2"/>
        <v>70.646047038327524</v>
      </c>
      <c r="O11" s="2988"/>
    </row>
    <row r="12" spans="1:18" s="2989" customFormat="1" ht="33" customHeight="1" x14ac:dyDescent="0.25">
      <c r="A12" s="146" t="s">
        <v>7</v>
      </c>
      <c r="B12" s="2926" t="s">
        <v>768</v>
      </c>
      <c r="C12" s="2924"/>
      <c r="D12" s="2927"/>
      <c r="E12" s="2925"/>
      <c r="F12" s="2925"/>
      <c r="G12" s="2925"/>
      <c r="H12" s="2925"/>
      <c r="I12" s="2925"/>
      <c r="J12" s="2925"/>
      <c r="K12" s="2925"/>
      <c r="L12" s="2928">
        <v>8800</v>
      </c>
      <c r="M12" s="2928">
        <v>4592.665</v>
      </c>
      <c r="N12" s="2929">
        <f t="shared" si="2"/>
        <v>52.189375000000005</v>
      </c>
      <c r="O12" s="2990"/>
      <c r="P12" s="2991"/>
    </row>
    <row r="13" spans="1:18" s="2989" customFormat="1" ht="33" customHeight="1" x14ac:dyDescent="0.25">
      <c r="A13" s="146" t="s">
        <v>38</v>
      </c>
      <c r="B13" s="2926" t="s">
        <v>1471</v>
      </c>
      <c r="C13" s="2924"/>
      <c r="D13" s="2927"/>
      <c r="E13" s="2925"/>
      <c r="F13" s="2925"/>
      <c r="G13" s="2925"/>
      <c r="H13" s="2925"/>
      <c r="I13" s="2925"/>
      <c r="J13" s="2925"/>
      <c r="K13" s="2925"/>
      <c r="L13" s="2928">
        <v>10900</v>
      </c>
      <c r="M13" s="2928">
        <v>6642.2860000000001</v>
      </c>
      <c r="N13" s="2929">
        <f t="shared" si="2"/>
        <v>60.938403669724771</v>
      </c>
      <c r="O13" s="2990"/>
    </row>
    <row r="14" spans="1:18" s="2989" customFormat="1" ht="33" customHeight="1" x14ac:dyDescent="0.25">
      <c r="A14" s="146" t="s">
        <v>39</v>
      </c>
      <c r="B14" s="2926" t="s">
        <v>1472</v>
      </c>
      <c r="C14" s="2992" t="s">
        <v>1473</v>
      </c>
      <c r="D14" s="2993">
        <v>525045.44700000004</v>
      </c>
      <c r="E14" s="2925"/>
      <c r="F14" s="2925"/>
      <c r="G14" s="2925"/>
      <c r="H14" s="2925"/>
      <c r="I14" s="2925"/>
      <c r="J14" s="2925"/>
      <c r="K14" s="2925"/>
      <c r="L14" s="2928">
        <v>11800</v>
      </c>
      <c r="M14" s="2928">
        <v>7729.7780000000002</v>
      </c>
      <c r="N14" s="2929">
        <f t="shared" si="2"/>
        <v>65.506593220338985</v>
      </c>
      <c r="O14" s="2990"/>
      <c r="R14" s="2994"/>
    </row>
    <row r="15" spans="1:18" s="2989" customFormat="1" ht="33" customHeight="1" x14ac:dyDescent="0.25">
      <c r="A15" s="146" t="s">
        <v>40</v>
      </c>
      <c r="B15" s="2926" t="s">
        <v>1474</v>
      </c>
      <c r="C15" s="2995" t="s">
        <v>1475</v>
      </c>
      <c r="D15" s="2993">
        <v>195540.658</v>
      </c>
      <c r="E15" s="2925"/>
      <c r="F15" s="2925"/>
      <c r="G15" s="2925"/>
      <c r="H15" s="2925"/>
      <c r="I15" s="2925"/>
      <c r="J15" s="2925"/>
      <c r="K15" s="2925"/>
      <c r="L15" s="2928">
        <v>11700</v>
      </c>
      <c r="M15" s="2928">
        <v>11700</v>
      </c>
      <c r="N15" s="2929">
        <f t="shared" si="2"/>
        <v>100</v>
      </c>
      <c r="O15" s="2990"/>
      <c r="R15" s="2994"/>
    </row>
    <row r="16" spans="1:18" s="2989" customFormat="1" ht="33" customHeight="1" x14ac:dyDescent="0.25">
      <c r="A16" s="146" t="s">
        <v>41</v>
      </c>
      <c r="B16" s="2926" t="s">
        <v>1476</v>
      </c>
      <c r="C16" s="2992" t="s">
        <v>1477</v>
      </c>
      <c r="D16" s="2993">
        <v>292833.02299999999</v>
      </c>
      <c r="E16" s="2925"/>
      <c r="F16" s="2925"/>
      <c r="G16" s="2925"/>
      <c r="H16" s="2925"/>
      <c r="I16" s="2925"/>
      <c r="J16" s="2925"/>
      <c r="K16" s="2925"/>
      <c r="L16" s="2928">
        <v>14200</v>
      </c>
      <c r="M16" s="2928">
        <v>9886.1020000000008</v>
      </c>
      <c r="N16" s="2929">
        <f t="shared" si="2"/>
        <v>69.620436619718319</v>
      </c>
      <c r="O16" s="2990"/>
    </row>
    <row r="17" spans="1:17" s="2989" customFormat="1" ht="33" customHeight="1" x14ac:dyDescent="0.25">
      <c r="A17" s="2917">
        <v>2</v>
      </c>
      <c r="B17" s="2918" t="s">
        <v>1478</v>
      </c>
      <c r="C17" s="2923"/>
      <c r="D17" s="2920">
        <f t="shared" ref="D17:K17" si="3">D18+D19</f>
        <v>720586.10499999998</v>
      </c>
      <c r="E17" s="2920">
        <f t="shared" si="3"/>
        <v>0</v>
      </c>
      <c r="F17" s="2920">
        <f t="shared" si="3"/>
        <v>0</v>
      </c>
      <c r="G17" s="2920">
        <f t="shared" si="3"/>
        <v>0</v>
      </c>
      <c r="H17" s="2920">
        <f t="shared" si="3"/>
        <v>0</v>
      </c>
      <c r="I17" s="2920">
        <f t="shared" si="3"/>
        <v>0</v>
      </c>
      <c r="J17" s="2920">
        <f t="shared" si="3"/>
        <v>0</v>
      </c>
      <c r="K17" s="2920">
        <f t="shared" si="3"/>
        <v>0</v>
      </c>
      <c r="L17" s="2920">
        <f>L18+L19</f>
        <v>2000</v>
      </c>
      <c r="M17" s="2920">
        <f>M18+M19</f>
        <v>0</v>
      </c>
      <c r="N17" s="2922">
        <f t="shared" si="2"/>
        <v>0</v>
      </c>
      <c r="O17" s="2990"/>
    </row>
    <row r="18" spans="1:17" s="2989" customFormat="1" ht="33" customHeight="1" x14ac:dyDescent="0.25">
      <c r="A18" s="2932" t="s">
        <v>43</v>
      </c>
      <c r="B18" s="2926" t="s">
        <v>1472</v>
      </c>
      <c r="C18" s="2996" t="s">
        <v>1473</v>
      </c>
      <c r="D18" s="2993">
        <v>525045.44700000004</v>
      </c>
      <c r="E18" s="2925"/>
      <c r="F18" s="2925"/>
      <c r="G18" s="2925"/>
      <c r="H18" s="2925"/>
      <c r="I18" s="2925"/>
      <c r="J18" s="2925"/>
      <c r="K18" s="2925"/>
      <c r="L18" s="2928">
        <v>1000</v>
      </c>
      <c r="M18" s="2928"/>
      <c r="N18" s="2922">
        <f t="shared" si="2"/>
        <v>0</v>
      </c>
      <c r="O18" s="2990"/>
    </row>
    <row r="19" spans="1:17" s="2989" customFormat="1" ht="33" customHeight="1" x14ac:dyDescent="0.25">
      <c r="A19" s="2932" t="s">
        <v>44</v>
      </c>
      <c r="B19" s="2926" t="s">
        <v>1474</v>
      </c>
      <c r="C19" s="2996" t="s">
        <v>1475</v>
      </c>
      <c r="D19" s="2993">
        <v>195540.658</v>
      </c>
      <c r="E19" s="2925"/>
      <c r="F19" s="2925"/>
      <c r="G19" s="2925"/>
      <c r="H19" s="2925"/>
      <c r="I19" s="2925"/>
      <c r="J19" s="2925"/>
      <c r="K19" s="2925"/>
      <c r="L19" s="2928">
        <v>1000</v>
      </c>
      <c r="M19" s="2997"/>
      <c r="N19" s="2922">
        <f t="shared" si="2"/>
        <v>0</v>
      </c>
      <c r="O19" s="2990"/>
    </row>
    <row r="20" spans="1:17" s="263" customFormat="1" ht="33" customHeight="1" x14ac:dyDescent="0.25">
      <c r="A20" s="2933" t="s">
        <v>11</v>
      </c>
      <c r="B20" s="2934" t="s">
        <v>1452</v>
      </c>
      <c r="C20" s="2923"/>
      <c r="D20" s="2920">
        <f t="shared" ref="D20:K20" si="4">D21+D28</f>
        <v>1497296.6680000001</v>
      </c>
      <c r="E20" s="2920">
        <f t="shared" si="4"/>
        <v>0</v>
      </c>
      <c r="F20" s="2920">
        <f t="shared" si="4"/>
        <v>0</v>
      </c>
      <c r="G20" s="2920">
        <f t="shared" si="4"/>
        <v>0</v>
      </c>
      <c r="H20" s="2920">
        <f t="shared" si="4"/>
        <v>0</v>
      </c>
      <c r="I20" s="2920">
        <f t="shared" si="4"/>
        <v>0</v>
      </c>
      <c r="J20" s="2920">
        <f t="shared" si="4"/>
        <v>0</v>
      </c>
      <c r="K20" s="2920">
        <f t="shared" si="4"/>
        <v>0</v>
      </c>
      <c r="L20" s="2920">
        <f>L21+L28</f>
        <v>284285.27100000001</v>
      </c>
      <c r="M20" s="2998">
        <f>M21+M28</f>
        <v>246234.14300000001</v>
      </c>
      <c r="N20" s="2922">
        <f t="shared" si="2"/>
        <v>86.615160234594086</v>
      </c>
      <c r="O20" s="2990"/>
    </row>
    <row r="21" spans="1:17" s="2989" customFormat="1" ht="33" customHeight="1" x14ac:dyDescent="0.25">
      <c r="A21" s="2923">
        <v>1</v>
      </c>
      <c r="B21" s="2918" t="s">
        <v>1470</v>
      </c>
      <c r="C21" s="2923"/>
      <c r="D21" s="2920">
        <f t="shared" ref="D21:K21" si="5">SUM(D22:D27)</f>
        <v>1497296.6680000001</v>
      </c>
      <c r="E21" s="2920">
        <f t="shared" si="5"/>
        <v>0</v>
      </c>
      <c r="F21" s="2920">
        <f t="shared" si="5"/>
        <v>0</v>
      </c>
      <c r="G21" s="2920">
        <f t="shared" si="5"/>
        <v>0</v>
      </c>
      <c r="H21" s="2920">
        <f t="shared" si="5"/>
        <v>0</v>
      </c>
      <c r="I21" s="2920">
        <f t="shared" si="5"/>
        <v>0</v>
      </c>
      <c r="J21" s="2920">
        <f t="shared" si="5"/>
        <v>0</v>
      </c>
      <c r="K21" s="2920">
        <f t="shared" si="5"/>
        <v>0</v>
      </c>
      <c r="L21" s="2920">
        <f>SUM(L22:L27)</f>
        <v>268285.27100000001</v>
      </c>
      <c r="M21" s="2998">
        <f>SUM(M22:M27)</f>
        <v>242166.98300000001</v>
      </c>
      <c r="N21" s="2922">
        <f t="shared" si="2"/>
        <v>90.264732796307698</v>
      </c>
      <c r="O21" s="2990"/>
    </row>
    <row r="22" spans="1:17" s="2989" customFormat="1" ht="33" customHeight="1" x14ac:dyDescent="0.25">
      <c r="A22" s="146" t="s">
        <v>7</v>
      </c>
      <c r="B22" s="2926" t="s">
        <v>768</v>
      </c>
      <c r="C22" s="2923"/>
      <c r="D22" s="2993"/>
      <c r="E22" s="2925"/>
      <c r="F22" s="2925"/>
      <c r="G22" s="2925"/>
      <c r="H22" s="2925"/>
      <c r="I22" s="2925"/>
      <c r="J22" s="2925"/>
      <c r="K22" s="2925"/>
      <c r="L22" s="2999">
        <v>36374.745999999999</v>
      </c>
      <c r="M22" s="3000">
        <f>L22</f>
        <v>36374.745999999999</v>
      </c>
      <c r="N22" s="2929">
        <f t="shared" si="2"/>
        <v>100</v>
      </c>
      <c r="O22" s="2990"/>
    </row>
    <row r="23" spans="1:17" s="2989" customFormat="1" ht="33" customHeight="1" x14ac:dyDescent="0.25">
      <c r="A23" s="146" t="s">
        <v>38</v>
      </c>
      <c r="B23" s="2926" t="s">
        <v>1471</v>
      </c>
      <c r="C23" s="2996" t="s">
        <v>1479</v>
      </c>
      <c r="D23" s="3001">
        <v>288336.88199999998</v>
      </c>
      <c r="E23" s="2925"/>
      <c r="F23" s="2925"/>
      <c r="G23" s="2925"/>
      <c r="H23" s="2925"/>
      <c r="I23" s="2925"/>
      <c r="J23" s="2925"/>
      <c r="K23" s="2925"/>
      <c r="L23" s="2999">
        <v>34484.665000000001</v>
      </c>
      <c r="M23" s="3002">
        <v>34484.665000000001</v>
      </c>
      <c r="N23" s="2929">
        <f t="shared" si="2"/>
        <v>100</v>
      </c>
      <c r="O23" s="2990"/>
    </row>
    <row r="24" spans="1:17" s="2989" customFormat="1" ht="33" customHeight="1" x14ac:dyDescent="0.25">
      <c r="A24" s="146" t="s">
        <v>39</v>
      </c>
      <c r="B24" s="2926" t="s">
        <v>1472</v>
      </c>
      <c r="C24" s="2996" t="s">
        <v>1473</v>
      </c>
      <c r="D24" s="2993">
        <v>525045.44700000004</v>
      </c>
      <c r="E24" s="2925"/>
      <c r="F24" s="2925"/>
      <c r="G24" s="2925"/>
      <c r="H24" s="2925"/>
      <c r="I24" s="2925"/>
      <c r="J24" s="2925"/>
      <c r="K24" s="2925"/>
      <c r="L24" s="2999">
        <v>76820.630999999994</v>
      </c>
      <c r="M24" s="3000">
        <v>74044.842000000004</v>
      </c>
      <c r="N24" s="2929">
        <f t="shared" si="2"/>
        <v>96.386662067381366</v>
      </c>
      <c r="O24" s="2990">
        <f>M24+M14</f>
        <v>81774.62000000001</v>
      </c>
    </row>
    <row r="25" spans="1:17" s="2989" customFormat="1" ht="33" customHeight="1" x14ac:dyDescent="0.25">
      <c r="A25" s="2935" t="s">
        <v>40</v>
      </c>
      <c r="B25" s="2936" t="s">
        <v>1474</v>
      </c>
      <c r="C25" s="2996" t="s">
        <v>1475</v>
      </c>
      <c r="D25" s="2993">
        <v>195540.658</v>
      </c>
      <c r="E25" s="2925"/>
      <c r="F25" s="2925"/>
      <c r="G25" s="2925"/>
      <c r="H25" s="2925"/>
      <c r="I25" s="2925"/>
      <c r="J25" s="2925"/>
      <c r="K25" s="2925"/>
      <c r="L25" s="2999">
        <v>14539.974</v>
      </c>
      <c r="M25" s="3000">
        <f>L25</f>
        <v>14539.974</v>
      </c>
      <c r="N25" s="2929">
        <f t="shared" si="2"/>
        <v>100</v>
      </c>
      <c r="O25" s="2990"/>
    </row>
    <row r="26" spans="1:17" s="2989" customFormat="1" ht="33" customHeight="1" x14ac:dyDescent="0.25">
      <c r="A26" s="146" t="s">
        <v>41</v>
      </c>
      <c r="B26" s="2937" t="s">
        <v>1480</v>
      </c>
      <c r="C26" s="2996" t="s">
        <v>1475</v>
      </c>
      <c r="D26" s="2993">
        <v>195540.658</v>
      </c>
      <c r="E26" s="2925"/>
      <c r="F26" s="2925"/>
      <c r="G26" s="2925"/>
      <c r="H26" s="2925"/>
      <c r="I26" s="2925"/>
      <c r="J26" s="2925"/>
      <c r="K26" s="2925"/>
      <c r="L26" s="2928">
        <v>70350.398000000001</v>
      </c>
      <c r="M26" s="3000">
        <v>47007.898999999998</v>
      </c>
      <c r="N26" s="2929">
        <f t="shared" si="2"/>
        <v>66.819663195082413</v>
      </c>
      <c r="O26" s="2990"/>
    </row>
    <row r="27" spans="1:17" s="2989" customFormat="1" ht="33" customHeight="1" x14ac:dyDescent="0.25">
      <c r="A27" s="146" t="s">
        <v>42</v>
      </c>
      <c r="B27" s="2926" t="s">
        <v>1476</v>
      </c>
      <c r="C27" s="2996" t="s">
        <v>1477</v>
      </c>
      <c r="D27" s="2993">
        <v>292833.02299999999</v>
      </c>
      <c r="E27" s="2925"/>
      <c r="F27" s="2925"/>
      <c r="G27" s="2925"/>
      <c r="H27" s="2925"/>
      <c r="I27" s="2925"/>
      <c r="J27" s="2925"/>
      <c r="K27" s="2925"/>
      <c r="L27" s="2925">
        <v>35714.857000000004</v>
      </c>
      <c r="M27" s="3000">
        <f>L27</f>
        <v>35714.857000000004</v>
      </c>
      <c r="N27" s="2929">
        <f t="shared" si="2"/>
        <v>100</v>
      </c>
      <c r="O27" s="2991">
        <f>M27+M16</f>
        <v>45600.959000000003</v>
      </c>
    </row>
    <row r="28" spans="1:17" s="2989" customFormat="1" ht="33" customHeight="1" x14ac:dyDescent="0.25">
      <c r="A28" s="2917">
        <v>2</v>
      </c>
      <c r="B28" s="2918" t="s">
        <v>1478</v>
      </c>
      <c r="C28" s="2923"/>
      <c r="D28" s="2993"/>
      <c r="E28" s="2925"/>
      <c r="F28" s="2925"/>
      <c r="G28" s="2925"/>
      <c r="H28" s="2925"/>
      <c r="I28" s="2925"/>
      <c r="J28" s="2925"/>
      <c r="K28" s="2925"/>
      <c r="L28" s="3003">
        <f>L29+L30</f>
        <v>16000</v>
      </c>
      <c r="M28" s="3004">
        <f>M29+M30</f>
        <v>4067.16</v>
      </c>
      <c r="N28" s="2922">
        <f t="shared" si="2"/>
        <v>25.419749999999997</v>
      </c>
    </row>
    <row r="29" spans="1:17" s="2989" customFormat="1" ht="33" customHeight="1" x14ac:dyDescent="0.25">
      <c r="A29" s="2923" t="s">
        <v>43</v>
      </c>
      <c r="B29" s="2936" t="s">
        <v>1474</v>
      </c>
      <c r="C29" s="2996" t="s">
        <v>1475</v>
      </c>
      <c r="D29" s="3001">
        <v>195540.658</v>
      </c>
      <c r="E29" s="2925"/>
      <c r="F29" s="2925"/>
      <c r="G29" s="2925"/>
      <c r="H29" s="2925"/>
      <c r="I29" s="2925"/>
      <c r="J29" s="2925"/>
      <c r="K29" s="2925"/>
      <c r="L29" s="2925">
        <v>6000</v>
      </c>
      <c r="M29" s="3000">
        <v>4067.16</v>
      </c>
      <c r="N29" s="2929">
        <f t="shared" si="2"/>
        <v>67.786000000000001</v>
      </c>
      <c r="O29" s="2991">
        <f>M29+M23+M13</f>
        <v>45194.110999999997</v>
      </c>
    </row>
    <row r="30" spans="1:17" s="2989" customFormat="1" ht="33" customHeight="1" x14ac:dyDescent="0.25">
      <c r="A30" s="2932" t="s">
        <v>44</v>
      </c>
      <c r="B30" s="2937" t="s">
        <v>1480</v>
      </c>
      <c r="C30" s="2996" t="s">
        <v>1475</v>
      </c>
      <c r="D30" s="2993">
        <v>195540.658</v>
      </c>
      <c r="E30" s="2925"/>
      <c r="F30" s="2925"/>
      <c r="G30" s="2925"/>
      <c r="H30" s="2925"/>
      <c r="I30" s="2925"/>
      <c r="J30" s="2925"/>
      <c r="K30" s="2925"/>
      <c r="L30" s="2925">
        <v>10000</v>
      </c>
      <c r="M30" s="2997"/>
      <c r="N30" s="2922">
        <f t="shared" si="2"/>
        <v>0</v>
      </c>
      <c r="O30" s="2991">
        <f>M26</f>
        <v>47007.898999999998</v>
      </c>
      <c r="Q30" s="2991"/>
    </row>
    <row r="33" spans="4:18" x14ac:dyDescent="0.2">
      <c r="O33" s="2931">
        <f>L24+L18+L14</f>
        <v>89620.630999999994</v>
      </c>
      <c r="P33" s="42">
        <f>34484.665+6642.286</f>
        <v>41126.951000000001</v>
      </c>
    </row>
    <row r="34" spans="4:18" x14ac:dyDescent="0.2">
      <c r="D34" s="42"/>
      <c r="H34" s="42"/>
      <c r="M34" s="42"/>
      <c r="N34" s="42"/>
      <c r="R34" s="2930">
        <f>L29+L25+L19+L15</f>
        <v>33239.974000000002</v>
      </c>
    </row>
    <row r="38" spans="4:18" x14ac:dyDescent="0.2">
      <c r="D38" s="42"/>
      <c r="H38" s="42"/>
      <c r="M38" s="42"/>
      <c r="N38" s="42"/>
      <c r="Q38" s="2930">
        <f>L24+L18+L14</f>
        <v>89620.630999999994</v>
      </c>
    </row>
    <row r="39" spans="4:18" x14ac:dyDescent="0.2">
      <c r="D39" s="42"/>
      <c r="H39" s="42"/>
      <c r="M39" s="42"/>
      <c r="N39" s="42"/>
      <c r="O39" s="2930">
        <f>L22+L12</f>
        <v>45174.745999999999</v>
      </c>
    </row>
    <row r="42" spans="4:18" x14ac:dyDescent="0.2">
      <c r="D42" s="42"/>
      <c r="H42" s="42"/>
      <c r="M42" s="42"/>
      <c r="N42" s="42"/>
      <c r="O42" s="2930">
        <f>L22+L12</f>
        <v>45174.745999999999</v>
      </c>
    </row>
  </sheetData>
  <mergeCells count="9">
    <mergeCell ref="M1:N1"/>
    <mergeCell ref="A2:N2"/>
    <mergeCell ref="A3:N3"/>
    <mergeCell ref="M4:N4"/>
    <mergeCell ref="J5:J7"/>
    <mergeCell ref="K5:K7"/>
    <mergeCell ref="L5:L7"/>
    <mergeCell ref="M5:M7"/>
    <mergeCell ref="N5:N7"/>
  </mergeCells>
  <pageMargins left="0.7" right="0.7" top="0.59" bottom="0.75" header="0.3" footer="0.3"/>
  <pageSetup paperSize="9" scale="62" firstPageNumber="32" orientation="portrait" useFirstPageNumber="1" verticalDpi="0" r:id="rId1"/>
  <headerFooter>
    <oddFooter>&amp;C&amp;P</oddFooter>
  </headerFooter>
  <colBreaks count="1" manualBreakCount="1">
    <brk id="1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00A7D-0A68-495D-AD70-30A00381CAC1}">
  <dimension ref="A1:AI59"/>
  <sheetViews>
    <sheetView zoomScale="70" zoomScaleNormal="70" workbookViewId="0">
      <selection activeCell="M34" sqref="M34:M35"/>
    </sheetView>
  </sheetViews>
  <sheetFormatPr defaultColWidth="9.140625" defaultRowHeight="15.75" x14ac:dyDescent="0.25"/>
  <cols>
    <col min="1" max="1" width="6.85546875" style="688" customWidth="1"/>
    <col min="2" max="2" width="73.42578125" style="1441" customWidth="1"/>
    <col min="3" max="3" width="34.140625" style="688" customWidth="1"/>
    <col min="4" max="4" width="22.42578125" style="669" customWidth="1"/>
    <col min="5" max="5" width="12.28515625" style="102" hidden="1" customWidth="1"/>
    <col min="6" max="6" width="7.5703125" style="102" hidden="1" customWidth="1"/>
    <col min="7" max="7" width="11.28515625" style="102" hidden="1" customWidth="1"/>
    <col min="8" max="8" width="1.140625" style="378" hidden="1" customWidth="1"/>
    <col min="9" max="9" width="6.5703125" style="102" hidden="1" customWidth="1"/>
    <col min="10" max="10" width="12.5703125" style="102" hidden="1" customWidth="1"/>
    <col min="11" max="11" width="14.42578125" style="102" hidden="1" customWidth="1"/>
    <col min="12" max="12" width="23.7109375" style="102" customWidth="1"/>
    <col min="13" max="13" width="22.85546875" style="578" customWidth="1"/>
    <col min="14" max="14" width="15.140625" style="1508" customWidth="1"/>
    <col min="15" max="15" width="18.85546875" style="102" hidden="1" customWidth="1"/>
    <col min="16" max="16" width="16.7109375" style="102" hidden="1" customWidth="1"/>
    <col min="17" max="17" width="21.7109375" style="102" hidden="1" customWidth="1"/>
    <col min="18" max="18" width="20.28515625" style="102" hidden="1" customWidth="1"/>
    <col min="19" max="19" width="23.140625" style="102" hidden="1" customWidth="1"/>
    <col min="20" max="20" width="15.42578125" style="102" hidden="1" customWidth="1"/>
    <col min="21" max="21" width="11.85546875" style="102" hidden="1" customWidth="1"/>
    <col min="22" max="22" width="8.5703125" style="102" hidden="1" customWidth="1"/>
    <col min="23" max="23" width="12" style="102" hidden="1" customWidth="1"/>
    <col min="24" max="24" width="9.140625" style="102" hidden="1" customWidth="1"/>
    <col min="25" max="25" width="18.7109375" style="102" hidden="1" customWidth="1"/>
    <col min="26" max="26" width="22.28515625" style="102" hidden="1" customWidth="1"/>
    <col min="27" max="27" width="2.140625" style="102" hidden="1" customWidth="1"/>
    <col min="28" max="28" width="5.7109375" style="102" hidden="1" customWidth="1"/>
    <col min="29" max="29" width="9.140625" style="102" hidden="1" customWidth="1"/>
    <col min="30" max="30" width="12.28515625" style="102" hidden="1" customWidth="1"/>
    <col min="31" max="31" width="9.140625" style="102" hidden="1" customWidth="1"/>
    <col min="32" max="32" width="13.140625" style="102" customWidth="1"/>
    <col min="33" max="33" width="15.5703125" style="1834" customWidth="1"/>
    <col min="34" max="34" width="20" style="1834" customWidth="1"/>
    <col min="35" max="35" width="20.140625" style="102" customWidth="1"/>
    <col min="36" max="16384" width="9.140625" style="102"/>
  </cols>
  <sheetData>
    <row r="1" spans="1:35" ht="28.5" customHeight="1" x14ac:dyDescent="0.25">
      <c r="A1" s="3130" t="str">
        <f>'[4]48'!A1</f>
        <v>HĐND PHƯỜNG BẮC KẠN (DỰ THẢO)</v>
      </c>
      <c r="B1" s="3130"/>
      <c r="M1" s="3141" t="s">
        <v>974</v>
      </c>
      <c r="N1" s="3141"/>
    </row>
    <row r="2" spans="1:35" ht="28.5" hidden="1" customHeight="1" x14ac:dyDescent="0.25">
      <c r="A2" s="3129" t="s">
        <v>1522</v>
      </c>
      <c r="B2" s="3129"/>
      <c r="C2" s="3129"/>
      <c r="D2" s="3129"/>
      <c r="E2" s="3129"/>
      <c r="F2" s="3129"/>
      <c r="G2" s="3129"/>
      <c r="H2" s="3129"/>
      <c r="I2" s="3129"/>
      <c r="J2" s="3129"/>
      <c r="K2" s="3129"/>
      <c r="L2" s="3129"/>
      <c r="M2" s="3129"/>
      <c r="N2" s="3129"/>
    </row>
    <row r="3" spans="1:35" ht="28.5" customHeight="1" x14ac:dyDescent="0.25">
      <c r="A3" s="3101" t="s">
        <v>1468</v>
      </c>
      <c r="B3" s="3101"/>
      <c r="C3" s="3101"/>
      <c r="D3" s="3101"/>
      <c r="E3" s="3101"/>
      <c r="F3" s="3101"/>
      <c r="G3" s="3101"/>
      <c r="H3" s="3101"/>
      <c r="I3" s="3101"/>
      <c r="J3" s="3101"/>
      <c r="K3" s="3101"/>
      <c r="L3" s="3101"/>
      <c r="M3" s="3101"/>
      <c r="N3" s="3101"/>
    </row>
    <row r="4" spans="1:35" ht="28.5" customHeight="1" x14ac:dyDescent="0.25">
      <c r="A4" s="3224" t="str">
        <f>'[4]61'!A4:AF4</f>
        <v>(Kèm theo Nghị quyết số          /NQ-HĐND ngày         /3/2026 của Hội đồng nhân dân phường Bắc Kạn)</v>
      </c>
      <c r="B4" s="3224"/>
      <c r="C4" s="3224"/>
      <c r="D4" s="3224"/>
      <c r="E4" s="3224"/>
      <c r="F4" s="3224"/>
      <c r="G4" s="3224"/>
      <c r="H4" s="3224"/>
      <c r="I4" s="3224"/>
      <c r="J4" s="3224"/>
      <c r="K4" s="3224"/>
      <c r="L4" s="3224"/>
      <c r="M4" s="3224"/>
      <c r="N4" s="1506"/>
    </row>
    <row r="5" spans="1:35" ht="31.5" customHeight="1" x14ac:dyDescent="0.25">
      <c r="L5" s="1339"/>
      <c r="M5" s="3226" t="s">
        <v>1187</v>
      </c>
      <c r="N5" s="3226"/>
    </row>
    <row r="6" spans="1:35" ht="36" customHeight="1" x14ac:dyDescent="0.25">
      <c r="A6" s="3136" t="s">
        <v>0</v>
      </c>
      <c r="B6" s="3240" t="s">
        <v>54</v>
      </c>
      <c r="C6" s="5" t="s">
        <v>478</v>
      </c>
      <c r="D6" s="5"/>
      <c r="E6" s="5"/>
      <c r="F6" s="5"/>
      <c r="G6" s="5"/>
      <c r="H6" s="5"/>
      <c r="I6" s="5"/>
      <c r="J6" s="3134" t="s">
        <v>769</v>
      </c>
      <c r="K6" s="3134" t="s">
        <v>770</v>
      </c>
      <c r="L6" s="3134" t="s">
        <v>1099</v>
      </c>
      <c r="M6" s="3134" t="s">
        <v>1100</v>
      </c>
      <c r="N6" s="3225" t="s">
        <v>414</v>
      </c>
    </row>
    <row r="7" spans="1:35" ht="36" customHeight="1" x14ac:dyDescent="0.25">
      <c r="A7" s="3223"/>
      <c r="B7" s="3241"/>
      <c r="C7" s="3136" t="s">
        <v>479</v>
      </c>
      <c r="D7" s="5" t="s">
        <v>480</v>
      </c>
      <c r="E7" s="5"/>
      <c r="F7" s="5"/>
      <c r="G7" s="5"/>
      <c r="H7" s="5"/>
      <c r="I7" s="5"/>
      <c r="J7" s="3134"/>
      <c r="K7" s="3134"/>
      <c r="L7" s="3134"/>
      <c r="M7" s="3134"/>
      <c r="N7" s="3225"/>
      <c r="O7" s="102">
        <v>22898470.827</v>
      </c>
    </row>
    <row r="8" spans="1:35" ht="36" customHeight="1" x14ac:dyDescent="0.25">
      <c r="A8" s="3137"/>
      <c r="B8" s="3242"/>
      <c r="C8" s="3137"/>
      <c r="D8" s="1076" t="s">
        <v>56</v>
      </c>
      <c r="E8" s="5" t="s">
        <v>481</v>
      </c>
      <c r="F8" s="5"/>
      <c r="G8" s="5"/>
      <c r="H8" s="5"/>
      <c r="I8" s="5"/>
      <c r="J8" s="3134"/>
      <c r="K8" s="3134"/>
      <c r="L8" s="3134"/>
      <c r="M8" s="3134"/>
      <c r="N8" s="3225"/>
      <c r="O8" s="1363">
        <v>23185254.901000001</v>
      </c>
      <c r="P8" s="1382">
        <f>O8-O7</f>
        <v>286784.07400000095</v>
      </c>
      <c r="Q8" s="102">
        <v>286784.97399999999</v>
      </c>
      <c r="R8" s="1384">
        <f>P8-Q8</f>
        <v>-0.89999999903375283</v>
      </c>
    </row>
    <row r="9" spans="1:35" ht="20.25" customHeight="1" x14ac:dyDescent="0.25">
      <c r="A9" s="5" t="s">
        <v>3</v>
      </c>
      <c r="B9" s="5" t="s">
        <v>4</v>
      </c>
      <c r="C9" s="5">
        <v>1</v>
      </c>
      <c r="D9" s="1077">
        <v>2</v>
      </c>
      <c r="E9" s="1364">
        <v>6</v>
      </c>
      <c r="F9" s="1364">
        <v>7</v>
      </c>
      <c r="G9" s="1364">
        <v>8</v>
      </c>
      <c r="H9" s="1364">
        <v>3</v>
      </c>
      <c r="I9" s="5">
        <v>4</v>
      </c>
      <c r="J9" s="5">
        <v>5</v>
      </c>
      <c r="K9" s="5">
        <v>6</v>
      </c>
      <c r="L9" s="5">
        <v>3</v>
      </c>
      <c r="M9" s="5">
        <v>4</v>
      </c>
      <c r="N9" s="1509">
        <v>5</v>
      </c>
      <c r="O9" s="1365"/>
      <c r="R9" s="1078" t="s">
        <v>703</v>
      </c>
      <c r="S9" s="378" t="s">
        <v>704</v>
      </c>
      <c r="T9" s="378" t="s">
        <v>783</v>
      </c>
      <c r="U9" s="102" t="s">
        <v>608</v>
      </c>
    </row>
    <row r="10" spans="1:35" s="377" customFormat="1" ht="21.75" customHeight="1" x14ac:dyDescent="0.25">
      <c r="A10" s="5"/>
      <c r="B10" s="5" t="s">
        <v>29</v>
      </c>
      <c r="C10" s="5"/>
      <c r="D10" s="1079"/>
      <c r="E10" s="1079"/>
      <c r="F10" s="1079"/>
      <c r="G10" s="1079"/>
      <c r="H10" s="1079"/>
      <c r="I10" s="1079"/>
      <c r="J10" s="1079"/>
      <c r="K10" s="1079"/>
      <c r="L10" s="1366">
        <f>L11+L36+L38</f>
        <v>26684335.098000001</v>
      </c>
      <c r="M10" s="1366">
        <f>M11+M36+M38</f>
        <v>23185254.901000001</v>
      </c>
      <c r="N10" s="1507">
        <f>M10/L10*100%</f>
        <v>0.86887137400465875</v>
      </c>
      <c r="O10" s="1080">
        <f>O9-M11</f>
        <v>-17898469.927000001</v>
      </c>
      <c r="P10" s="1081"/>
      <c r="R10" s="102"/>
      <c r="S10" s="102"/>
      <c r="T10" s="102"/>
      <c r="Y10" s="102"/>
      <c r="Z10" s="1381"/>
      <c r="AA10" s="102"/>
      <c r="AB10" s="102"/>
      <c r="AC10" s="102"/>
      <c r="AD10" s="102"/>
      <c r="AE10" s="102"/>
      <c r="AF10" s="686"/>
      <c r="AG10" s="1835"/>
      <c r="AH10" s="1835"/>
    </row>
    <row r="11" spans="1:35" s="377" customFormat="1" ht="29.25" customHeight="1" x14ac:dyDescent="0.25">
      <c r="A11" s="5" t="s">
        <v>3</v>
      </c>
      <c r="B11" s="1367" t="s">
        <v>1438</v>
      </c>
      <c r="C11" s="5"/>
      <c r="D11" s="1510"/>
      <c r="E11" s="1510"/>
      <c r="F11" s="1510"/>
      <c r="G11" s="1510"/>
      <c r="H11" s="1510"/>
      <c r="I11" s="1510"/>
      <c r="J11" s="1510"/>
      <c r="K11" s="1510"/>
      <c r="L11" s="1511">
        <f>L12+L23+L30</f>
        <v>21340649.827</v>
      </c>
      <c r="M11" s="1511">
        <f>M12+M23+M30</f>
        <v>17898469.927000001</v>
      </c>
      <c r="N11" s="1512">
        <f t="shared" ref="N11:N59" si="0">M11/L11*100%</f>
        <v>0.83870313566342369</v>
      </c>
      <c r="O11" s="1513"/>
      <c r="P11" s="1514"/>
      <c r="Q11" s="1515" t="e">
        <f>SUM(R11:U11)</f>
        <v>#REF!</v>
      </c>
      <c r="R11" s="1515" t="e">
        <f>SUM(R12:R16)</f>
        <v>#REF!</v>
      </c>
      <c r="S11" s="1515" t="e">
        <f>SUM(S12:S16)</f>
        <v>#REF!</v>
      </c>
      <c r="T11" s="1515" t="e">
        <f t="shared" ref="T11:U11" si="1">SUM(T12:T16)</f>
        <v>#REF!</v>
      </c>
      <c r="U11" s="1516" t="e">
        <f t="shared" si="1"/>
        <v>#REF!</v>
      </c>
      <c r="Y11" s="1517"/>
      <c r="Z11" s="102"/>
      <c r="AA11" s="102"/>
      <c r="AB11" s="102"/>
      <c r="AC11" s="102"/>
      <c r="AD11" s="102"/>
      <c r="AE11" s="102"/>
      <c r="AF11" s="961"/>
      <c r="AG11" s="1835"/>
      <c r="AH11" s="1835"/>
    </row>
    <row r="12" spans="1:35" s="377" customFormat="1" ht="23.45" customHeight="1" x14ac:dyDescent="0.25">
      <c r="A12" s="5" t="s">
        <v>5</v>
      </c>
      <c r="B12" s="1367" t="s">
        <v>1439</v>
      </c>
      <c r="C12" s="5"/>
      <c r="D12" s="1510"/>
      <c r="E12" s="1510"/>
      <c r="F12" s="1510"/>
      <c r="G12" s="1510"/>
      <c r="H12" s="1510"/>
      <c r="I12" s="1510"/>
      <c r="J12" s="1510"/>
      <c r="K12" s="1510"/>
      <c r="L12" s="1510">
        <f>L13+L19</f>
        <v>18560127.906999998</v>
      </c>
      <c r="M12" s="1510">
        <f>M13+M19</f>
        <v>16559987.006999999</v>
      </c>
      <c r="N12" s="1512">
        <f t="shared" si="0"/>
        <v>0.89223453038566392</v>
      </c>
      <c r="O12" s="1548"/>
      <c r="P12" s="1518"/>
      <c r="Q12" s="102" t="s">
        <v>706</v>
      </c>
      <c r="R12" s="958">
        <f>SUM(M13,M17,M31,M34,M27)</f>
        <v>14726519.950000001</v>
      </c>
      <c r="S12" s="960" t="e">
        <f>SUM(M22,M23,M35,#REF!,#REF!,#REF!,#REF!,#REF!)</f>
        <v>#REF!</v>
      </c>
      <c r="T12" s="960"/>
      <c r="U12" s="959"/>
      <c r="Y12" s="1519"/>
      <c r="Z12" s="376">
        <v>486322400</v>
      </c>
      <c r="AA12" s="102"/>
      <c r="AB12" s="102"/>
      <c r="AC12" s="102"/>
      <c r="AD12" s="102"/>
      <c r="AE12" s="102"/>
      <c r="AF12" s="102"/>
      <c r="AG12" s="1835"/>
      <c r="AH12" s="1835"/>
    </row>
    <row r="13" spans="1:35" ht="34.5" customHeight="1" x14ac:dyDescent="0.25">
      <c r="A13" s="5" t="s">
        <v>1440</v>
      </c>
      <c r="B13" s="1552" t="s">
        <v>1441</v>
      </c>
      <c r="C13" s="5"/>
      <c r="D13" s="1520"/>
      <c r="E13" s="834"/>
      <c r="F13" s="834"/>
      <c r="G13" s="834"/>
      <c r="H13" s="834"/>
      <c r="I13" s="834"/>
      <c r="J13" s="834"/>
      <c r="K13" s="834"/>
      <c r="L13" s="834">
        <f>SUM(L14:L18)</f>
        <v>10238028.182</v>
      </c>
      <c r="M13" s="834">
        <f>SUM(M14:M18)</f>
        <v>10237888.182</v>
      </c>
      <c r="N13" s="1512">
        <f t="shared" si="0"/>
        <v>0.99998632549183186</v>
      </c>
      <c r="O13" s="1078" t="s">
        <v>703</v>
      </c>
      <c r="Q13" s="102" t="s">
        <v>705</v>
      </c>
      <c r="S13" s="1521" t="e">
        <f>#REF!</f>
        <v>#REF!</v>
      </c>
      <c r="T13" s="961"/>
      <c r="Y13" s="1519"/>
      <c r="AG13" s="1834" t="s">
        <v>1978</v>
      </c>
      <c r="AH13" s="1834" t="s">
        <v>1048</v>
      </c>
    </row>
    <row r="14" spans="1:35" s="1843" customFormat="1" ht="34.5" customHeight="1" x14ac:dyDescent="0.25">
      <c r="A14" s="1836">
        <v>1</v>
      </c>
      <c r="B14" s="1837" t="s">
        <v>771</v>
      </c>
      <c r="C14" s="1838" t="s">
        <v>772</v>
      </c>
      <c r="D14" s="1839"/>
      <c r="E14" s="1839"/>
      <c r="F14" s="1839"/>
      <c r="G14" s="1839"/>
      <c r="H14" s="1839"/>
      <c r="I14" s="1839"/>
      <c r="J14" s="1839"/>
      <c r="K14" s="1839"/>
      <c r="L14" s="1840">
        <v>3396472.1519999998</v>
      </c>
      <c r="M14" s="1840">
        <f>L14</f>
        <v>3396472.1519999998</v>
      </c>
      <c r="N14" s="1841">
        <f t="shared" si="0"/>
        <v>1</v>
      </c>
      <c r="O14" s="1842" t="s">
        <v>703</v>
      </c>
      <c r="Q14" s="1843" t="s">
        <v>707</v>
      </c>
      <c r="R14" s="1844" t="e">
        <f>SUM(M14,M18,M19,M20,M24,M25,M26,M30,#REF!,#REF!,#REF!,#REF!,#REF!)</f>
        <v>#REF!</v>
      </c>
      <c r="S14" s="1845" t="e">
        <f>SUM(M28,#REF!,#REF!,#REF!,#REF!,#REF!,#REF!,#REF!,#REF!,#REF!,#REF!,M36)</f>
        <v>#REF!</v>
      </c>
      <c r="T14" s="1845" t="e">
        <f>#REF!</f>
        <v>#REF!</v>
      </c>
      <c r="U14" s="1846" t="e">
        <f>#REF!</f>
        <v>#REF!</v>
      </c>
      <c r="W14" s="1847"/>
      <c r="X14" s="1847"/>
      <c r="Y14" s="1848"/>
      <c r="AF14" s="1849" t="s">
        <v>1916</v>
      </c>
      <c r="AG14" s="1850">
        <f>M32</f>
        <v>411067.52</v>
      </c>
      <c r="AH14" s="1851">
        <f>M14+M20+M21</f>
        <v>5522870.8770000003</v>
      </c>
      <c r="AI14" s="1849">
        <f>AG14+AH14</f>
        <v>5933938.3969999999</v>
      </c>
    </row>
    <row r="15" spans="1:35" ht="38.450000000000003" customHeight="1" x14ac:dyDescent="0.25">
      <c r="A15" s="252">
        <v>2</v>
      </c>
      <c r="B15" s="1368" t="s">
        <v>1442</v>
      </c>
      <c r="C15" s="1370" t="str">
        <f>C21</f>
        <v>3045/QĐ-UBND ngày 3/12/2024; 57/QĐ-UBND ngày 20/01/2026</v>
      </c>
      <c r="D15" s="834"/>
      <c r="E15" s="834"/>
      <c r="F15" s="834"/>
      <c r="G15" s="834"/>
      <c r="H15" s="834"/>
      <c r="I15" s="834"/>
      <c r="J15" s="834"/>
      <c r="K15" s="834"/>
      <c r="L15" s="1522">
        <v>140</v>
      </c>
      <c r="M15" s="1522">
        <v>0</v>
      </c>
      <c r="N15" s="1523">
        <f t="shared" si="0"/>
        <v>0</v>
      </c>
      <c r="O15" s="1078" t="s">
        <v>703</v>
      </c>
      <c r="Q15" s="102" t="s">
        <v>708</v>
      </c>
      <c r="R15" s="1527" t="e">
        <f>SUM(#REF!,M15)</f>
        <v>#REF!</v>
      </c>
      <c r="U15" s="1528"/>
      <c r="W15" s="1517"/>
      <c r="X15" s="1517"/>
      <c r="AG15" s="1852">
        <f>M24+M33+M49</f>
        <v>1173649.5430000001</v>
      </c>
      <c r="AH15" s="1853">
        <f>M16+M17+M18+M22+M39+M36</f>
        <v>16077666.960999999</v>
      </c>
    </row>
    <row r="16" spans="1:35" s="1860" customFormat="1" ht="63.75" customHeight="1" x14ac:dyDescent="0.25">
      <c r="A16" s="1854">
        <v>3</v>
      </c>
      <c r="B16" s="1855" t="s">
        <v>1443</v>
      </c>
      <c r="C16" s="1854" t="s">
        <v>1444</v>
      </c>
      <c r="D16" s="1856"/>
      <c r="E16" s="1856"/>
      <c r="F16" s="1856"/>
      <c r="G16" s="1856"/>
      <c r="H16" s="1856"/>
      <c r="I16" s="1856"/>
      <c r="J16" s="1856"/>
      <c r="K16" s="1856"/>
      <c r="L16" s="1857">
        <v>1307961.182</v>
      </c>
      <c r="M16" s="1857">
        <f>L16</f>
        <v>1307961.182</v>
      </c>
      <c r="N16" s="1858">
        <f t="shared" si="0"/>
        <v>1</v>
      </c>
      <c r="O16" s="1859" t="s">
        <v>703</v>
      </c>
      <c r="P16" s="1859"/>
      <c r="Q16" s="1860" t="s">
        <v>784</v>
      </c>
      <c r="R16" s="1861">
        <f>M16</f>
        <v>1307961.182</v>
      </c>
      <c r="U16" s="1862"/>
      <c r="W16" s="1863"/>
      <c r="X16" s="1863"/>
      <c r="AF16" s="1860" t="s">
        <v>1913</v>
      </c>
      <c r="AG16" s="1864"/>
      <c r="AH16" s="1864"/>
    </row>
    <row r="17" spans="1:34" s="1860" customFormat="1" ht="38.450000000000003" customHeight="1" x14ac:dyDescent="0.25">
      <c r="A17" s="1854">
        <v>4</v>
      </c>
      <c r="B17" s="1855" t="s">
        <v>776</v>
      </c>
      <c r="C17" s="1865" t="s">
        <v>1445</v>
      </c>
      <c r="D17" s="1856"/>
      <c r="E17" s="1856"/>
      <c r="F17" s="1856"/>
      <c r="G17" s="1856"/>
      <c r="H17" s="1856"/>
      <c r="I17" s="1856"/>
      <c r="J17" s="1856"/>
      <c r="K17" s="1856"/>
      <c r="L17" s="1866">
        <v>3754254.8480000002</v>
      </c>
      <c r="M17" s="1867">
        <f>L17</f>
        <v>3754254.8480000002</v>
      </c>
      <c r="N17" s="1858">
        <f t="shared" si="0"/>
        <v>1</v>
      </c>
      <c r="O17" s="1859" t="s">
        <v>703</v>
      </c>
      <c r="P17" s="1859"/>
      <c r="R17" s="1861"/>
      <c r="U17" s="1862"/>
      <c r="W17" s="1863"/>
      <c r="X17" s="1863"/>
      <c r="AF17" s="1860" t="s">
        <v>1913</v>
      </c>
      <c r="AG17" s="1864"/>
      <c r="AH17" s="1864"/>
    </row>
    <row r="18" spans="1:34" s="1860" customFormat="1" ht="38.450000000000003" customHeight="1" x14ac:dyDescent="0.25">
      <c r="A18" s="1854">
        <v>5</v>
      </c>
      <c r="B18" s="1855" t="s">
        <v>773</v>
      </c>
      <c r="C18" s="1868" t="s">
        <v>774</v>
      </c>
      <c r="D18" s="1856"/>
      <c r="E18" s="1856"/>
      <c r="F18" s="1856"/>
      <c r="G18" s="1856"/>
      <c r="H18" s="1856"/>
      <c r="I18" s="1856"/>
      <c r="J18" s="1856"/>
      <c r="K18" s="1856"/>
      <c r="L18" s="1866">
        <v>1779200</v>
      </c>
      <c r="M18" s="1867">
        <f>L18</f>
        <v>1779200</v>
      </c>
      <c r="N18" s="1858">
        <f t="shared" si="0"/>
        <v>1</v>
      </c>
      <c r="O18" s="1859" t="s">
        <v>703</v>
      </c>
      <c r="P18" s="1859"/>
      <c r="R18" s="1861"/>
      <c r="U18" s="1862"/>
      <c r="W18" s="1863"/>
      <c r="X18" s="1863"/>
      <c r="AF18" s="1860" t="s">
        <v>1913</v>
      </c>
      <c r="AG18" s="1864"/>
      <c r="AH18" s="1864"/>
    </row>
    <row r="19" spans="1:34" s="1875" customFormat="1" ht="38.450000000000003" customHeight="1" x14ac:dyDescent="0.25">
      <c r="A19" s="1869" t="s">
        <v>1446</v>
      </c>
      <c r="B19" s="1870" t="s">
        <v>1447</v>
      </c>
      <c r="C19" s="1871"/>
      <c r="D19" s="1872"/>
      <c r="E19" s="1872"/>
      <c r="F19" s="1872"/>
      <c r="G19" s="1872"/>
      <c r="H19" s="1872"/>
      <c r="I19" s="1872"/>
      <c r="J19" s="1872"/>
      <c r="K19" s="1872"/>
      <c r="L19" s="1872">
        <f>L20+L21+L22</f>
        <v>8322099.7249999996</v>
      </c>
      <c r="M19" s="1872">
        <f>M20+M21+M22</f>
        <v>6322098.8249999993</v>
      </c>
      <c r="N19" s="1873">
        <f t="shared" si="0"/>
        <v>0.75967592721919697</v>
      </c>
      <c r="O19" s="1874" t="s">
        <v>703</v>
      </c>
      <c r="P19" s="1874"/>
      <c r="R19" s="1876"/>
      <c r="U19" s="1877"/>
      <c r="W19" s="1878"/>
      <c r="X19" s="1878"/>
      <c r="AG19" s="1879"/>
      <c r="AH19" s="1879"/>
    </row>
    <row r="20" spans="1:34" s="1843" customFormat="1" ht="38.450000000000003" customHeight="1" x14ac:dyDescent="0.25">
      <c r="A20" s="1880" t="s">
        <v>1448</v>
      </c>
      <c r="B20" s="1837" t="s">
        <v>771</v>
      </c>
      <c r="C20" s="1838" t="s">
        <v>772</v>
      </c>
      <c r="D20" s="1839"/>
      <c r="E20" s="1839"/>
      <c r="F20" s="1839"/>
      <c r="G20" s="1839"/>
      <c r="H20" s="1839"/>
      <c r="I20" s="1839"/>
      <c r="J20" s="1839"/>
      <c r="K20" s="1839"/>
      <c r="L20" s="1881">
        <v>2042861.7250000001</v>
      </c>
      <c r="M20" s="1882">
        <f>L20</f>
        <v>2042861.7250000001</v>
      </c>
      <c r="N20" s="1841">
        <f t="shared" si="0"/>
        <v>1</v>
      </c>
      <c r="O20" s="1842" t="s">
        <v>703</v>
      </c>
      <c r="P20" s="1842"/>
      <c r="R20" s="1883"/>
      <c r="U20" s="1884"/>
      <c r="W20" s="1847"/>
      <c r="X20" s="1847"/>
      <c r="AF20" s="1843" t="s">
        <v>1916</v>
      </c>
      <c r="AG20" s="1885"/>
      <c r="AH20" s="1885"/>
    </row>
    <row r="21" spans="1:34" s="1843" customFormat="1" ht="46.5" customHeight="1" x14ac:dyDescent="0.25">
      <c r="A21" s="1880" t="s">
        <v>1449</v>
      </c>
      <c r="B21" s="1837" t="s">
        <v>1442</v>
      </c>
      <c r="C21" s="1886" t="s">
        <v>1450</v>
      </c>
      <c r="D21" s="1839"/>
      <c r="E21" s="1839"/>
      <c r="F21" s="1839"/>
      <c r="G21" s="1839"/>
      <c r="H21" s="1839"/>
      <c r="I21" s="1839"/>
      <c r="J21" s="1839"/>
      <c r="K21" s="1839"/>
      <c r="L21" s="1881">
        <v>2083537</v>
      </c>
      <c r="M21" s="1882">
        <v>83537</v>
      </c>
      <c r="N21" s="1841">
        <f t="shared" si="0"/>
        <v>4.0093840426159939E-2</v>
      </c>
      <c r="O21" s="1887"/>
      <c r="Q21" s="1888"/>
      <c r="R21" s="1889"/>
      <c r="S21" s="1889"/>
      <c r="T21" s="1889"/>
      <c r="U21" s="1884"/>
      <c r="W21" s="1847"/>
      <c r="X21" s="1847"/>
      <c r="AF21" s="1843" t="s">
        <v>1916</v>
      </c>
      <c r="AG21" s="1885"/>
      <c r="AH21" s="1885"/>
    </row>
    <row r="22" spans="1:34" s="1860" customFormat="1" ht="31.5" customHeight="1" x14ac:dyDescent="0.25">
      <c r="A22" s="1890" t="s">
        <v>1451</v>
      </c>
      <c r="B22" s="1855" t="s">
        <v>778</v>
      </c>
      <c r="C22" s="1891" t="s">
        <v>779</v>
      </c>
      <c r="D22" s="1856"/>
      <c r="E22" s="1856"/>
      <c r="F22" s="1856"/>
      <c r="G22" s="1856"/>
      <c r="H22" s="1856"/>
      <c r="I22" s="1856"/>
      <c r="J22" s="1856"/>
      <c r="K22" s="1856"/>
      <c r="L22" s="1866">
        <v>4195701</v>
      </c>
      <c r="M22" s="1867">
        <f>4195700.1</f>
        <v>4195700.0999999996</v>
      </c>
      <c r="N22" s="1858">
        <f t="shared" si="0"/>
        <v>0.99999978549472412</v>
      </c>
      <c r="O22" s="1892" t="s">
        <v>704</v>
      </c>
      <c r="P22" s="1893">
        <f>M22-0.9</f>
        <v>4195699.1999999993</v>
      </c>
      <c r="Q22" s="1894"/>
      <c r="W22" s="1863"/>
      <c r="X22" s="1863"/>
      <c r="AF22" s="1860" t="s">
        <v>1913</v>
      </c>
      <c r="AG22" s="1864"/>
      <c r="AH22" s="1864"/>
    </row>
    <row r="23" spans="1:34" ht="35.25" customHeight="1" x14ac:dyDescent="0.25">
      <c r="A23" s="1371" t="s">
        <v>11</v>
      </c>
      <c r="B23" s="1372" t="s">
        <v>1452</v>
      </c>
      <c r="C23" s="1551"/>
      <c r="D23" s="834"/>
      <c r="E23" s="834"/>
      <c r="F23" s="834"/>
      <c r="G23" s="834"/>
      <c r="H23" s="834"/>
      <c r="I23" s="834"/>
      <c r="J23" s="834"/>
      <c r="K23" s="834"/>
      <c r="L23" s="834">
        <f>L24+L28</f>
        <v>1703170</v>
      </c>
      <c r="M23" s="834">
        <f>M24+M28</f>
        <v>485106</v>
      </c>
      <c r="N23" s="1512">
        <f t="shared" si="0"/>
        <v>0.28482535507318707</v>
      </c>
      <c r="O23" s="378" t="s">
        <v>704</v>
      </c>
      <c r="Q23" s="961"/>
      <c r="R23" s="1528"/>
      <c r="W23" s="1517"/>
      <c r="X23" s="1517"/>
    </row>
    <row r="24" spans="1:34" s="1901" customFormat="1" ht="35.25" customHeight="1" x14ac:dyDescent="0.25">
      <c r="A24" s="1895" t="s">
        <v>1453</v>
      </c>
      <c r="B24" s="1896" t="s">
        <v>1441</v>
      </c>
      <c r="C24" s="1897"/>
      <c r="D24" s="1898"/>
      <c r="E24" s="1898"/>
      <c r="F24" s="1898"/>
      <c r="G24" s="1898"/>
      <c r="H24" s="1898"/>
      <c r="I24" s="1898"/>
      <c r="J24" s="1898"/>
      <c r="K24" s="1898"/>
      <c r="L24" s="1898">
        <f>L25+L26+L27</f>
        <v>1698545</v>
      </c>
      <c r="M24" s="1898">
        <f>M25+M26+M27</f>
        <v>485106</v>
      </c>
      <c r="N24" s="1899">
        <f t="shared" si="0"/>
        <v>0.28560091136825932</v>
      </c>
      <c r="O24" s="1900" t="s">
        <v>782</v>
      </c>
      <c r="R24" s="1902"/>
      <c r="W24" s="1903"/>
      <c r="X24" s="1903"/>
      <c r="AF24" s="1901" t="s">
        <v>1913</v>
      </c>
      <c r="AG24" s="1904"/>
      <c r="AH24" s="1904"/>
    </row>
    <row r="25" spans="1:34" s="1913" customFormat="1" ht="35.25" customHeight="1" x14ac:dyDescent="0.25">
      <c r="A25" s="1905">
        <v>1</v>
      </c>
      <c r="B25" s="1906" t="s">
        <v>777</v>
      </c>
      <c r="C25" s="1907" t="s">
        <v>1454</v>
      </c>
      <c r="D25" s="1908"/>
      <c r="E25" s="1908"/>
      <c r="F25" s="1908"/>
      <c r="G25" s="1908"/>
      <c r="H25" s="1908"/>
      <c r="I25" s="1908"/>
      <c r="J25" s="1908"/>
      <c r="K25" s="1908"/>
      <c r="L25" s="1909">
        <v>1677000</v>
      </c>
      <c r="M25" s="1910">
        <v>485106</v>
      </c>
      <c r="N25" s="1911">
        <f t="shared" si="0"/>
        <v>0.28927012522361362</v>
      </c>
      <c r="O25" s="1912" t="s">
        <v>782</v>
      </c>
      <c r="S25" s="1914"/>
      <c r="AG25" s="1915"/>
      <c r="AH25" s="1915"/>
    </row>
    <row r="26" spans="1:34" s="1913" customFormat="1" ht="35.25" customHeight="1" x14ac:dyDescent="0.25">
      <c r="A26" s="1905">
        <v>2</v>
      </c>
      <c r="B26" s="1906" t="s">
        <v>790</v>
      </c>
      <c r="C26" s="1905" t="s">
        <v>1455</v>
      </c>
      <c r="D26" s="1908"/>
      <c r="E26" s="1908"/>
      <c r="F26" s="1908"/>
      <c r="G26" s="1908"/>
      <c r="H26" s="1908"/>
      <c r="I26" s="1908"/>
      <c r="J26" s="1908"/>
      <c r="K26" s="1908"/>
      <c r="L26" s="1909">
        <v>16850</v>
      </c>
      <c r="M26" s="1916">
        <v>0</v>
      </c>
      <c r="N26" s="1917">
        <f t="shared" si="0"/>
        <v>0</v>
      </c>
      <c r="O26" s="1912" t="s">
        <v>782</v>
      </c>
      <c r="R26" s="1918"/>
      <c r="S26" s="1919"/>
      <c r="W26" s="1920"/>
      <c r="X26" s="1920"/>
      <c r="AG26" s="1915"/>
      <c r="AH26" s="1915"/>
    </row>
    <row r="27" spans="1:34" s="1926" customFormat="1" ht="35.25" customHeight="1" x14ac:dyDescent="0.25">
      <c r="A27" s="1921">
        <v>3</v>
      </c>
      <c r="B27" s="1906" t="s">
        <v>1456</v>
      </c>
      <c r="C27" s="1922" t="s">
        <v>1457</v>
      </c>
      <c r="D27" s="1923"/>
      <c r="E27" s="1923"/>
      <c r="F27" s="1923"/>
      <c r="G27" s="1923"/>
      <c r="H27" s="1923"/>
      <c r="I27" s="1923"/>
      <c r="J27" s="1923"/>
      <c r="K27" s="1923"/>
      <c r="L27" s="1924">
        <v>4695</v>
      </c>
      <c r="M27" s="1925"/>
      <c r="N27" s="1917">
        <f t="shared" si="0"/>
        <v>0</v>
      </c>
      <c r="O27" s="1912" t="s">
        <v>782</v>
      </c>
    </row>
    <row r="28" spans="1:34" s="377" customFormat="1" ht="37.15" customHeight="1" x14ac:dyDescent="0.25">
      <c r="A28" s="1371" t="s">
        <v>1458</v>
      </c>
      <c r="B28" s="1372" t="s">
        <v>1447</v>
      </c>
      <c r="C28" s="1551"/>
      <c r="D28" s="834"/>
      <c r="E28" s="834"/>
      <c r="F28" s="834"/>
      <c r="G28" s="834"/>
      <c r="H28" s="834"/>
      <c r="I28" s="834"/>
      <c r="J28" s="834"/>
      <c r="K28" s="834"/>
      <c r="L28" s="834">
        <f>L29</f>
        <v>4625</v>
      </c>
      <c r="M28" s="1534">
        <v>0</v>
      </c>
      <c r="N28" s="1556">
        <f t="shared" si="0"/>
        <v>0</v>
      </c>
      <c r="O28" s="1550" t="str">
        <f>O23</f>
        <v>BQLDA</v>
      </c>
      <c r="P28" s="1078"/>
      <c r="AG28" s="1835"/>
      <c r="AH28" s="1835"/>
    </row>
    <row r="29" spans="1:34" ht="52.5" customHeight="1" x14ac:dyDescent="0.25">
      <c r="A29" s="1373" t="s">
        <v>1448</v>
      </c>
      <c r="B29" s="1368" t="s">
        <v>1456</v>
      </c>
      <c r="C29" s="1565" t="str">
        <f>C27</f>
        <v>1026/QĐ-UBND ngày 27/5/2022; 2210/QĐ-UBND ngày 07/8/2023</v>
      </c>
      <c r="D29" s="834"/>
      <c r="E29" s="834"/>
      <c r="F29" s="834"/>
      <c r="G29" s="834"/>
      <c r="H29" s="834"/>
      <c r="I29" s="834"/>
      <c r="J29" s="834"/>
      <c r="K29" s="834"/>
      <c r="L29" s="1529">
        <v>4625</v>
      </c>
      <c r="M29" s="1534">
        <v>0</v>
      </c>
      <c r="N29" s="1556">
        <f t="shared" si="0"/>
        <v>0</v>
      </c>
      <c r="O29" s="1549">
        <f>SUM(O30:O37)</f>
        <v>0</v>
      </c>
    </row>
    <row r="30" spans="1:34" ht="50.25" customHeight="1" x14ac:dyDescent="0.25">
      <c r="A30" s="1371" t="s">
        <v>17</v>
      </c>
      <c r="B30" s="1372" t="s">
        <v>1459</v>
      </c>
      <c r="C30" s="1378"/>
      <c r="D30" s="834"/>
      <c r="E30" s="834"/>
      <c r="F30" s="834"/>
      <c r="G30" s="834"/>
      <c r="H30" s="834"/>
      <c r="I30" s="834"/>
      <c r="J30" s="834"/>
      <c r="K30" s="834"/>
      <c r="L30" s="834">
        <f>L31+L33</f>
        <v>1077351.92</v>
      </c>
      <c r="M30" s="834">
        <f>M31+M33</f>
        <v>853376.92</v>
      </c>
      <c r="N30" s="1512">
        <f t="shared" si="0"/>
        <v>0.79210600005242493</v>
      </c>
      <c r="O30" s="378" t="s">
        <v>782</v>
      </c>
      <c r="P30" s="1078"/>
    </row>
    <row r="31" spans="1:34" s="1913" customFormat="1" ht="35.25" customHeight="1" x14ac:dyDescent="0.25">
      <c r="A31" s="1927" t="s">
        <v>1460</v>
      </c>
      <c r="B31" s="1928" t="s">
        <v>1461</v>
      </c>
      <c r="C31" s="1929"/>
      <c r="D31" s="1908"/>
      <c r="E31" s="1908"/>
      <c r="F31" s="1908"/>
      <c r="G31" s="1908"/>
      <c r="H31" s="1908"/>
      <c r="I31" s="1908"/>
      <c r="J31" s="1908"/>
      <c r="K31" s="1908"/>
      <c r="L31" s="1908">
        <f>L32</f>
        <v>411067.52</v>
      </c>
      <c r="M31" s="1916">
        <f>M32</f>
        <v>411067.52</v>
      </c>
      <c r="N31" s="1930">
        <f t="shared" si="0"/>
        <v>1</v>
      </c>
      <c r="O31" s="1912" t="s">
        <v>782</v>
      </c>
      <c r="P31" s="1931"/>
      <c r="AG31" s="1915"/>
      <c r="AH31" s="1915"/>
    </row>
    <row r="32" spans="1:34" s="1935" customFormat="1" ht="27.6" customHeight="1" x14ac:dyDescent="0.25">
      <c r="A32" s="1880" t="s">
        <v>1448</v>
      </c>
      <c r="B32" s="1837" t="s">
        <v>771</v>
      </c>
      <c r="C32" s="1886" t="s">
        <v>772</v>
      </c>
      <c r="D32" s="1839"/>
      <c r="E32" s="1839"/>
      <c r="F32" s="1839"/>
      <c r="G32" s="1839"/>
      <c r="H32" s="1839"/>
      <c r="I32" s="1839"/>
      <c r="J32" s="1839"/>
      <c r="K32" s="1839"/>
      <c r="L32" s="1932">
        <v>411067.52</v>
      </c>
      <c r="M32" s="1932">
        <f>L32</f>
        <v>411067.52</v>
      </c>
      <c r="N32" s="1841">
        <f t="shared" si="0"/>
        <v>1</v>
      </c>
      <c r="O32" s="1933"/>
      <c r="P32" s="1934"/>
      <c r="Q32" s="1843"/>
      <c r="R32" s="1843"/>
      <c r="S32" s="1843"/>
      <c r="T32" s="1843"/>
      <c r="Y32" s="1936">
        <v>75370.744676000002</v>
      </c>
      <c r="AF32" s="1935" t="s">
        <v>1916</v>
      </c>
      <c r="AG32" s="1937"/>
      <c r="AH32" s="1937"/>
    </row>
    <row r="33" spans="1:34" s="1944" customFormat="1" ht="27.6" customHeight="1" x14ac:dyDescent="0.25">
      <c r="A33" s="1938" t="s">
        <v>1462</v>
      </c>
      <c r="B33" s="1939" t="str">
        <f>B28</f>
        <v>NGUỒN THU SỬ DỤNG ĐẤT</v>
      </c>
      <c r="C33" s="1940"/>
      <c r="D33" s="1898"/>
      <c r="E33" s="1898"/>
      <c r="F33" s="1898"/>
      <c r="G33" s="1898"/>
      <c r="H33" s="1898"/>
      <c r="I33" s="1898"/>
      <c r="J33" s="1898"/>
      <c r="K33" s="1898"/>
      <c r="L33" s="1941">
        <f>L34+L35</f>
        <v>666284.4</v>
      </c>
      <c r="M33" s="1941">
        <f>M34+M35</f>
        <v>442309.4</v>
      </c>
      <c r="N33" s="1899">
        <f t="shared" si="0"/>
        <v>0.66384474857883513</v>
      </c>
      <c r="O33" s="1942"/>
      <c r="P33" s="1943"/>
      <c r="Q33" s="1901"/>
      <c r="R33" s="1901"/>
      <c r="S33" s="1901"/>
      <c r="T33" s="1901"/>
      <c r="Y33" s="1945">
        <f>Y32-M32</f>
        <v>-335696.77532400005</v>
      </c>
      <c r="AF33" s="1944" t="s">
        <v>1913</v>
      </c>
      <c r="AG33" s="1946"/>
      <c r="AH33" s="1946"/>
    </row>
    <row r="34" spans="1:34" s="1953" customFormat="1" ht="32.25" customHeight="1" x14ac:dyDescent="0.25">
      <c r="A34" s="1947" t="s">
        <v>1448</v>
      </c>
      <c r="B34" s="1948" t="s">
        <v>775</v>
      </c>
      <c r="C34" s="1871"/>
      <c r="D34" s="1872"/>
      <c r="E34" s="1872"/>
      <c r="F34" s="1872"/>
      <c r="G34" s="1872"/>
      <c r="H34" s="1872"/>
      <c r="I34" s="1872"/>
      <c r="J34" s="1872"/>
      <c r="K34" s="1872"/>
      <c r="L34" s="1949">
        <v>547284.4</v>
      </c>
      <c r="M34" s="1950">
        <v>323309.40000000002</v>
      </c>
      <c r="N34" s="1873">
        <f t="shared" si="0"/>
        <v>0.59075208429109249</v>
      </c>
      <c r="O34" s="1951" t="s">
        <v>782</v>
      </c>
      <c r="P34" s="1952"/>
      <c r="Q34" s="1875"/>
      <c r="R34" s="1875"/>
      <c r="S34" s="1875"/>
      <c r="T34" s="1875"/>
      <c r="Y34" s="1954"/>
      <c r="AG34" s="1955"/>
      <c r="AH34" s="1955"/>
    </row>
    <row r="35" spans="1:34" s="1953" customFormat="1" ht="27.6" customHeight="1" x14ac:dyDescent="0.25">
      <c r="A35" s="1947" t="s">
        <v>1449</v>
      </c>
      <c r="B35" s="1948" t="s">
        <v>1463</v>
      </c>
      <c r="C35" s="1871"/>
      <c r="D35" s="1872"/>
      <c r="E35" s="1872"/>
      <c r="F35" s="1872"/>
      <c r="G35" s="1872"/>
      <c r="H35" s="1872"/>
      <c r="I35" s="1872"/>
      <c r="J35" s="1872"/>
      <c r="K35" s="1872"/>
      <c r="L35" s="1949">
        <v>119000</v>
      </c>
      <c r="M35" s="1956">
        <f>L35</f>
        <v>119000</v>
      </c>
      <c r="N35" s="1873">
        <f t="shared" si="0"/>
        <v>1</v>
      </c>
      <c r="O35" s="1957" t="s">
        <v>704</v>
      </c>
      <c r="P35" s="1952"/>
      <c r="Q35" s="1875"/>
      <c r="R35" s="1875"/>
      <c r="S35" s="1875"/>
      <c r="T35" s="1875"/>
      <c r="AG35" s="1955"/>
      <c r="AH35" s="1955"/>
    </row>
    <row r="36" spans="1:34" s="2186" customFormat="1" ht="33.75" customHeight="1" x14ac:dyDescent="0.25">
      <c r="A36" s="1967" t="s">
        <v>4</v>
      </c>
      <c r="B36" s="2178" t="s">
        <v>1464</v>
      </c>
      <c r="C36" s="2179"/>
      <c r="D36" s="2180"/>
      <c r="E36" s="2181"/>
      <c r="F36" s="2181"/>
      <c r="G36" s="2181"/>
      <c r="H36" s="2182"/>
      <c r="I36" s="2181"/>
      <c r="J36" s="2181"/>
      <c r="K36" s="2181"/>
      <c r="L36" s="2183">
        <f>L37</f>
        <v>5000000</v>
      </c>
      <c r="M36" s="2183">
        <f>L36</f>
        <v>5000000</v>
      </c>
      <c r="N36" s="1970">
        <f t="shared" si="0"/>
        <v>1</v>
      </c>
      <c r="O36" s="2184" t="s">
        <v>704</v>
      </c>
      <c r="P36" s="2185"/>
      <c r="Q36" s="1860"/>
      <c r="R36" s="1860"/>
      <c r="S36" s="1860"/>
      <c r="T36" s="1860"/>
      <c r="AG36" s="2187"/>
      <c r="AH36" s="2187"/>
    </row>
    <row r="37" spans="1:34" s="2186" customFormat="1" ht="48" customHeight="1" x14ac:dyDescent="0.25">
      <c r="A37" s="2188"/>
      <c r="B37" s="2189" t="s">
        <v>1465</v>
      </c>
      <c r="C37" s="1865" t="s">
        <v>1466</v>
      </c>
      <c r="D37" s="2180"/>
      <c r="E37" s="2181"/>
      <c r="F37" s="2181"/>
      <c r="G37" s="2181"/>
      <c r="H37" s="2182"/>
      <c r="I37" s="2181"/>
      <c r="J37" s="2181"/>
      <c r="K37" s="2181"/>
      <c r="L37" s="2190">
        <v>5000000</v>
      </c>
      <c r="M37" s="2191">
        <f>L37</f>
        <v>5000000</v>
      </c>
      <c r="N37" s="1858">
        <f t="shared" si="0"/>
        <v>1</v>
      </c>
      <c r="O37" s="2192"/>
      <c r="P37" s="2185"/>
      <c r="AF37" s="2186" t="s">
        <v>1913</v>
      </c>
      <c r="AG37" s="2187"/>
      <c r="AH37" s="2187"/>
    </row>
    <row r="38" spans="1:34" s="1963" customFormat="1" ht="41.25" customHeight="1" x14ac:dyDescent="0.25">
      <c r="A38" s="1958" t="s">
        <v>45</v>
      </c>
      <c r="B38" s="1959" t="s">
        <v>1481</v>
      </c>
      <c r="C38" s="1960"/>
      <c r="D38" s="1961">
        <f>D39+D49</f>
        <v>3231301.9010000001</v>
      </c>
      <c r="E38" s="1961">
        <f t="shared" ref="E38:M38" si="2">E39+E49</f>
        <v>0</v>
      </c>
      <c r="F38" s="1961">
        <f t="shared" si="2"/>
        <v>0</v>
      </c>
      <c r="G38" s="1961">
        <f t="shared" si="2"/>
        <v>0</v>
      </c>
      <c r="H38" s="1961">
        <f t="shared" si="2"/>
        <v>0</v>
      </c>
      <c r="I38" s="1961">
        <f t="shared" si="2"/>
        <v>0</v>
      </c>
      <c r="J38" s="1961">
        <f t="shared" si="2"/>
        <v>0</v>
      </c>
      <c r="K38" s="1961">
        <f t="shared" si="2"/>
        <v>0</v>
      </c>
      <c r="L38" s="1961">
        <f t="shared" si="2"/>
        <v>343685.27100000001</v>
      </c>
      <c r="M38" s="1961">
        <f t="shared" si="2"/>
        <v>286784.97399999999</v>
      </c>
      <c r="N38" s="1962">
        <f t="shared" si="0"/>
        <v>0.83444068803286009</v>
      </c>
      <c r="AG38" s="1964"/>
      <c r="AH38" s="1964"/>
    </row>
    <row r="39" spans="1:34" s="1860" customFormat="1" ht="21" customHeight="1" x14ac:dyDescent="0.25">
      <c r="A39" s="1965" t="s">
        <v>5</v>
      </c>
      <c r="B39" s="1966" t="s">
        <v>1439</v>
      </c>
      <c r="C39" s="1967"/>
      <c r="D39" s="1968">
        <f t="shared" ref="D39:K39" si="3">SUM(D40,D46)</f>
        <v>1734005.233</v>
      </c>
      <c r="E39" s="1969">
        <f t="shared" si="3"/>
        <v>0</v>
      </c>
      <c r="F39" s="1969">
        <f t="shared" si="3"/>
        <v>0</v>
      </c>
      <c r="G39" s="1969">
        <f t="shared" si="3"/>
        <v>0</v>
      </c>
      <c r="H39" s="1969">
        <f t="shared" si="3"/>
        <v>0</v>
      </c>
      <c r="I39" s="1969">
        <f t="shared" si="3"/>
        <v>0</v>
      </c>
      <c r="J39" s="1969">
        <f t="shared" si="3"/>
        <v>0</v>
      </c>
      <c r="K39" s="1969">
        <f t="shared" si="3"/>
        <v>0</v>
      </c>
      <c r="L39" s="1969">
        <f>L40+L46</f>
        <v>59400</v>
      </c>
      <c r="M39" s="1969">
        <f>M40+M46</f>
        <v>40550.830999999998</v>
      </c>
      <c r="N39" s="1970">
        <f t="shared" si="0"/>
        <v>0.68267392255892256</v>
      </c>
      <c r="AF39" s="1860" t="s">
        <v>1913</v>
      </c>
      <c r="AG39" s="1864"/>
      <c r="AH39" s="1864"/>
    </row>
    <row r="40" spans="1:34" s="1977" customFormat="1" ht="21" customHeight="1" x14ac:dyDescent="0.25">
      <c r="A40" s="1971">
        <v>1</v>
      </c>
      <c r="B40" s="1972" t="s">
        <v>1470</v>
      </c>
      <c r="C40" s="1973"/>
      <c r="D40" s="1974">
        <f>SUM(D41:D45)</f>
        <v>1013419.128</v>
      </c>
      <c r="E40" s="1975"/>
      <c r="F40" s="1975"/>
      <c r="G40" s="1975"/>
      <c r="H40" s="1975"/>
      <c r="I40" s="1975"/>
      <c r="J40" s="1975"/>
      <c r="K40" s="1975"/>
      <c r="L40" s="1976">
        <f>L41+L42+L43+L44+L45</f>
        <v>57400</v>
      </c>
      <c r="M40" s="1976">
        <f>M41+M42+M43+M44+M45</f>
        <v>40550.830999999998</v>
      </c>
      <c r="N40" s="1962">
        <f t="shared" si="0"/>
        <v>0.7064604703832752</v>
      </c>
      <c r="AG40" s="1978"/>
      <c r="AH40" s="1978"/>
    </row>
    <row r="41" spans="1:34" s="1977" customFormat="1" ht="21" customHeight="1" x14ac:dyDescent="0.25">
      <c r="A41" s="1979" t="s">
        <v>7</v>
      </c>
      <c r="B41" s="1980" t="s">
        <v>768</v>
      </c>
      <c r="C41" s="1973"/>
      <c r="D41" s="1981"/>
      <c r="E41" s="1975"/>
      <c r="F41" s="1975"/>
      <c r="G41" s="1975"/>
      <c r="H41" s="1975"/>
      <c r="I41" s="1975"/>
      <c r="J41" s="1975"/>
      <c r="K41" s="1975"/>
      <c r="L41" s="1982">
        <v>8800</v>
      </c>
      <c r="M41" s="1982">
        <v>4592.665</v>
      </c>
      <c r="N41" s="1962">
        <f t="shared" si="0"/>
        <v>0.52189375000000005</v>
      </c>
      <c r="AG41" s="1978"/>
      <c r="AH41" s="1978"/>
    </row>
    <row r="42" spans="1:34" s="1977" customFormat="1" ht="35.25" customHeight="1" x14ac:dyDescent="0.25">
      <c r="A42" s="1979" t="s">
        <v>38</v>
      </c>
      <c r="B42" s="1980" t="s">
        <v>1471</v>
      </c>
      <c r="C42" s="1973"/>
      <c r="D42" s="1981"/>
      <c r="E42" s="1975"/>
      <c r="F42" s="1975"/>
      <c r="G42" s="1975"/>
      <c r="H42" s="1975"/>
      <c r="I42" s="1975"/>
      <c r="J42" s="1975"/>
      <c r="K42" s="1975"/>
      <c r="L42" s="1982">
        <v>10900</v>
      </c>
      <c r="M42" s="1982">
        <v>6642.2860000000001</v>
      </c>
      <c r="N42" s="1962">
        <f t="shared" si="0"/>
        <v>0.60938403669724772</v>
      </c>
      <c r="AG42" s="1978"/>
      <c r="AH42" s="1978"/>
    </row>
    <row r="43" spans="1:34" s="1977" customFormat="1" ht="35.25" customHeight="1" x14ac:dyDescent="0.25">
      <c r="A43" s="1979" t="s">
        <v>39</v>
      </c>
      <c r="B43" s="1980" t="s">
        <v>1472</v>
      </c>
      <c r="C43" s="23" t="s">
        <v>1473</v>
      </c>
      <c r="D43" s="1983">
        <v>525045.44700000004</v>
      </c>
      <c r="E43" s="1975"/>
      <c r="F43" s="1975"/>
      <c r="G43" s="1975"/>
      <c r="H43" s="1975"/>
      <c r="I43" s="1975"/>
      <c r="J43" s="1975"/>
      <c r="K43" s="1975"/>
      <c r="L43" s="1982">
        <v>11800</v>
      </c>
      <c r="M43" s="1982">
        <v>7729.7780000000002</v>
      </c>
      <c r="N43" s="1962">
        <f t="shared" si="0"/>
        <v>0.65506593220338982</v>
      </c>
      <c r="AG43" s="1978"/>
      <c r="AH43" s="1978"/>
    </row>
    <row r="44" spans="1:34" s="1977" customFormat="1" ht="35.25" customHeight="1" x14ac:dyDescent="0.25">
      <c r="A44" s="1979" t="s">
        <v>40</v>
      </c>
      <c r="B44" s="1980" t="s">
        <v>1474</v>
      </c>
      <c r="C44" s="23" t="s">
        <v>1475</v>
      </c>
      <c r="D44" s="1983">
        <v>195540.658</v>
      </c>
      <c r="E44" s="1975"/>
      <c r="F44" s="1975"/>
      <c r="G44" s="1975"/>
      <c r="H44" s="1975"/>
      <c r="I44" s="1975"/>
      <c r="J44" s="1975"/>
      <c r="K44" s="1975"/>
      <c r="L44" s="1982">
        <v>11700</v>
      </c>
      <c r="M44" s="1982">
        <v>11700</v>
      </c>
      <c r="N44" s="1962">
        <f t="shared" si="0"/>
        <v>1</v>
      </c>
      <c r="AG44" s="1978"/>
      <c r="AH44" s="1978"/>
    </row>
    <row r="45" spans="1:34" s="1977" customFormat="1" ht="21" customHeight="1" x14ac:dyDescent="0.25">
      <c r="A45" s="1979" t="s">
        <v>41</v>
      </c>
      <c r="B45" s="1980" t="s">
        <v>1476</v>
      </c>
      <c r="C45" s="23" t="s">
        <v>1477</v>
      </c>
      <c r="D45" s="1983">
        <v>292833.02299999999</v>
      </c>
      <c r="E45" s="1975"/>
      <c r="F45" s="1975"/>
      <c r="G45" s="1975"/>
      <c r="H45" s="1975"/>
      <c r="I45" s="1975"/>
      <c r="J45" s="1975"/>
      <c r="K45" s="1975"/>
      <c r="L45" s="1982">
        <v>14200</v>
      </c>
      <c r="M45" s="1982">
        <v>9886.1020000000008</v>
      </c>
      <c r="N45" s="1984">
        <f t="shared" si="0"/>
        <v>0.69620436619718318</v>
      </c>
      <c r="AG45" s="1978"/>
      <c r="AH45" s="1978"/>
    </row>
    <row r="46" spans="1:34" s="1977" customFormat="1" ht="21" customHeight="1" x14ac:dyDescent="0.25">
      <c r="A46" s="1985">
        <v>2</v>
      </c>
      <c r="B46" s="1972" t="s">
        <v>1478</v>
      </c>
      <c r="C46" s="1973"/>
      <c r="D46" s="1976">
        <f t="shared" ref="D46:K46" si="4">D47+D48</f>
        <v>720586.10499999998</v>
      </c>
      <c r="E46" s="1976">
        <f t="shared" si="4"/>
        <v>0</v>
      </c>
      <c r="F46" s="1976">
        <f t="shared" si="4"/>
        <v>0</v>
      </c>
      <c r="G46" s="1976">
        <f t="shared" si="4"/>
        <v>0</v>
      </c>
      <c r="H46" s="1976">
        <f t="shared" si="4"/>
        <v>0</v>
      </c>
      <c r="I46" s="1976">
        <f t="shared" si="4"/>
        <v>0</v>
      </c>
      <c r="J46" s="1976">
        <f t="shared" si="4"/>
        <v>0</v>
      </c>
      <c r="K46" s="1976">
        <f t="shared" si="4"/>
        <v>0</v>
      </c>
      <c r="L46" s="1976">
        <f>L47+L48</f>
        <v>2000</v>
      </c>
      <c r="M46" s="1976">
        <f>M47+M48</f>
        <v>0</v>
      </c>
      <c r="N46" s="1986">
        <f t="shared" si="0"/>
        <v>0</v>
      </c>
      <c r="AG46" s="1978"/>
      <c r="AH46" s="1978"/>
    </row>
    <row r="47" spans="1:34" s="1977" customFormat="1" ht="35.25" customHeight="1" x14ac:dyDescent="0.25">
      <c r="A47" s="1987" t="s">
        <v>43</v>
      </c>
      <c r="B47" s="1980" t="s">
        <v>1472</v>
      </c>
      <c r="C47" s="23" t="s">
        <v>1473</v>
      </c>
      <c r="D47" s="1983">
        <v>525045.44700000004</v>
      </c>
      <c r="E47" s="1988"/>
      <c r="F47" s="1988"/>
      <c r="G47" s="1988"/>
      <c r="H47" s="1988"/>
      <c r="I47" s="1988"/>
      <c r="J47" s="1988"/>
      <c r="K47" s="1988"/>
      <c r="L47" s="1981">
        <v>1000</v>
      </c>
      <c r="M47" s="1981"/>
      <c r="N47" s="1986">
        <f t="shared" si="0"/>
        <v>0</v>
      </c>
      <c r="AG47" s="1978"/>
      <c r="AH47" s="1978"/>
    </row>
    <row r="48" spans="1:34" s="1977" customFormat="1" ht="35.25" customHeight="1" x14ac:dyDescent="0.25">
      <c r="A48" s="1987" t="s">
        <v>44</v>
      </c>
      <c r="B48" s="1980" t="s">
        <v>1474</v>
      </c>
      <c r="C48" s="23" t="s">
        <v>1475</v>
      </c>
      <c r="D48" s="1983">
        <v>195540.658</v>
      </c>
      <c r="E48" s="1988"/>
      <c r="F48" s="1988"/>
      <c r="G48" s="1988"/>
      <c r="H48" s="1988"/>
      <c r="I48" s="1988"/>
      <c r="J48" s="1988"/>
      <c r="K48" s="1988"/>
      <c r="L48" s="1981">
        <v>1000</v>
      </c>
      <c r="M48" s="1988"/>
      <c r="N48" s="1986">
        <f t="shared" si="0"/>
        <v>0</v>
      </c>
      <c r="AG48" s="1978"/>
      <c r="AH48" s="1978"/>
    </row>
    <row r="49" spans="1:34" s="1901" customFormat="1" ht="35.25" customHeight="1" x14ac:dyDescent="0.25">
      <c r="A49" s="1989" t="s">
        <v>11</v>
      </c>
      <c r="B49" s="1939" t="s">
        <v>1452</v>
      </c>
      <c r="C49" s="1990"/>
      <c r="D49" s="1991">
        <f t="shared" ref="D49:K49" si="5">D50+D57</f>
        <v>1497296.6680000001</v>
      </c>
      <c r="E49" s="1991">
        <f t="shared" si="5"/>
        <v>0</v>
      </c>
      <c r="F49" s="1991">
        <f t="shared" si="5"/>
        <v>0</v>
      </c>
      <c r="G49" s="1991">
        <f t="shared" si="5"/>
        <v>0</v>
      </c>
      <c r="H49" s="1991">
        <f t="shared" si="5"/>
        <v>0</v>
      </c>
      <c r="I49" s="1991">
        <f t="shared" si="5"/>
        <v>0</v>
      </c>
      <c r="J49" s="1991">
        <f t="shared" si="5"/>
        <v>0</v>
      </c>
      <c r="K49" s="1991">
        <f t="shared" si="5"/>
        <v>0</v>
      </c>
      <c r="L49" s="1991">
        <f>L50+L57</f>
        <v>284285.27100000001</v>
      </c>
      <c r="M49" s="1992">
        <f>M50+M57</f>
        <v>246234.14300000001</v>
      </c>
      <c r="N49" s="1899">
        <f t="shared" si="0"/>
        <v>0.8661516023459408</v>
      </c>
      <c r="AF49" s="1901" t="s">
        <v>1913</v>
      </c>
      <c r="AG49" s="1904"/>
      <c r="AH49" s="1904"/>
    </row>
    <row r="50" spans="1:34" s="1977" customFormat="1" ht="21" customHeight="1" x14ac:dyDescent="0.25">
      <c r="A50" s="1971">
        <v>1</v>
      </c>
      <c r="B50" s="1972" t="s">
        <v>1470</v>
      </c>
      <c r="C50" s="1973"/>
      <c r="D50" s="1974">
        <f t="shared" ref="D50:K50" si="6">SUM(D51:D56)</f>
        <v>1497296.6680000001</v>
      </c>
      <c r="E50" s="1974">
        <f t="shared" si="6"/>
        <v>0</v>
      </c>
      <c r="F50" s="1974">
        <f t="shared" si="6"/>
        <v>0</v>
      </c>
      <c r="G50" s="1974">
        <f t="shared" si="6"/>
        <v>0</v>
      </c>
      <c r="H50" s="1974">
        <f t="shared" si="6"/>
        <v>0</v>
      </c>
      <c r="I50" s="1974">
        <f t="shared" si="6"/>
        <v>0</v>
      </c>
      <c r="J50" s="1974">
        <f t="shared" si="6"/>
        <v>0</v>
      </c>
      <c r="K50" s="1974">
        <f t="shared" si="6"/>
        <v>0</v>
      </c>
      <c r="L50" s="1974">
        <f>SUM(L51:L56)</f>
        <v>268285.27100000001</v>
      </c>
      <c r="M50" s="1993">
        <f>SUM(M51:M56)</f>
        <v>242166.98300000001</v>
      </c>
      <c r="N50" s="1962">
        <f t="shared" si="0"/>
        <v>0.90264732796307701</v>
      </c>
      <c r="AG50" s="1978"/>
      <c r="AH50" s="1978"/>
    </row>
    <row r="51" spans="1:34" s="1977" customFormat="1" ht="21" customHeight="1" x14ac:dyDescent="0.25">
      <c r="A51" s="1979" t="s">
        <v>7</v>
      </c>
      <c r="B51" s="1980" t="s">
        <v>768</v>
      </c>
      <c r="C51" s="1973"/>
      <c r="D51" s="1983"/>
      <c r="E51" s="1988"/>
      <c r="F51" s="1988"/>
      <c r="G51" s="1988"/>
      <c r="H51" s="1988"/>
      <c r="I51" s="1988"/>
      <c r="J51" s="1988"/>
      <c r="K51" s="1988"/>
      <c r="L51" s="1981">
        <v>36374.745999999999</v>
      </c>
      <c r="M51" s="1994">
        <f>L51</f>
        <v>36374.745999999999</v>
      </c>
      <c r="N51" s="1984">
        <f t="shared" si="0"/>
        <v>1</v>
      </c>
      <c r="AG51" s="1978"/>
      <c r="AH51" s="1978"/>
    </row>
    <row r="52" spans="1:34" s="1977" customFormat="1" ht="35.25" customHeight="1" x14ac:dyDescent="0.25">
      <c r="A52" s="1979" t="s">
        <v>38</v>
      </c>
      <c r="B52" s="1980" t="s">
        <v>1471</v>
      </c>
      <c r="C52" s="23" t="s">
        <v>1479</v>
      </c>
      <c r="D52" s="1994">
        <v>288336.88199999998</v>
      </c>
      <c r="E52" s="1988"/>
      <c r="F52" s="1988"/>
      <c r="G52" s="1988"/>
      <c r="H52" s="1988"/>
      <c r="I52" s="1988"/>
      <c r="J52" s="1988"/>
      <c r="K52" s="1988"/>
      <c r="L52" s="1981">
        <v>34484.665000000001</v>
      </c>
      <c r="M52" s="1995">
        <v>34484.665000000001</v>
      </c>
      <c r="N52" s="1984">
        <f t="shared" si="0"/>
        <v>1</v>
      </c>
      <c r="AG52" s="1978"/>
      <c r="AH52" s="1978"/>
    </row>
    <row r="53" spans="1:34" s="1977" customFormat="1" ht="35.25" customHeight="1" x14ac:dyDescent="0.25">
      <c r="A53" s="1979" t="s">
        <v>39</v>
      </c>
      <c r="B53" s="1980" t="s">
        <v>1472</v>
      </c>
      <c r="C53" s="23" t="s">
        <v>1473</v>
      </c>
      <c r="D53" s="1983">
        <v>525045.44700000004</v>
      </c>
      <c r="E53" s="1988"/>
      <c r="F53" s="1988"/>
      <c r="G53" s="1988"/>
      <c r="H53" s="1988"/>
      <c r="I53" s="1988"/>
      <c r="J53" s="1988"/>
      <c r="K53" s="1988"/>
      <c r="L53" s="1981">
        <v>76820.630999999994</v>
      </c>
      <c r="M53" s="1994">
        <v>74044.842000000004</v>
      </c>
      <c r="N53" s="1984">
        <f t="shared" si="0"/>
        <v>0.96386662067381368</v>
      </c>
      <c r="AG53" s="1978"/>
      <c r="AH53" s="1978"/>
    </row>
    <row r="54" spans="1:34" s="1977" customFormat="1" ht="35.25" customHeight="1" x14ac:dyDescent="0.25">
      <c r="A54" s="1996" t="s">
        <v>40</v>
      </c>
      <c r="B54" s="1997" t="s">
        <v>1474</v>
      </c>
      <c r="C54" s="23" t="s">
        <v>1475</v>
      </c>
      <c r="D54" s="1983">
        <v>195540.658</v>
      </c>
      <c r="E54" s="1988"/>
      <c r="F54" s="1988"/>
      <c r="G54" s="1988"/>
      <c r="H54" s="1988"/>
      <c r="I54" s="1988"/>
      <c r="J54" s="1988"/>
      <c r="K54" s="1988"/>
      <c r="L54" s="1981">
        <v>14539.974</v>
      </c>
      <c r="M54" s="1994">
        <f>L54</f>
        <v>14539.974</v>
      </c>
      <c r="N54" s="1984">
        <f t="shared" si="0"/>
        <v>1</v>
      </c>
      <c r="AG54" s="1978"/>
      <c r="AH54" s="1978"/>
    </row>
    <row r="55" spans="1:34" s="1977" customFormat="1" ht="21" customHeight="1" x14ac:dyDescent="0.25">
      <c r="A55" s="1979" t="s">
        <v>41</v>
      </c>
      <c r="B55" s="1998" t="s">
        <v>1480</v>
      </c>
      <c r="C55" s="23" t="s">
        <v>1475</v>
      </c>
      <c r="D55" s="1983">
        <v>195540.658</v>
      </c>
      <c r="E55" s="1988"/>
      <c r="F55" s="1988"/>
      <c r="G55" s="1988"/>
      <c r="H55" s="1988"/>
      <c r="I55" s="1988"/>
      <c r="J55" s="1988"/>
      <c r="K55" s="1988"/>
      <c r="L55" s="1981">
        <v>70350.398000000001</v>
      </c>
      <c r="M55" s="1994">
        <v>47007.898999999998</v>
      </c>
      <c r="N55" s="1984">
        <f t="shared" si="0"/>
        <v>0.66819663195082413</v>
      </c>
      <c r="AG55" s="1978"/>
      <c r="AH55" s="1978"/>
    </row>
    <row r="56" spans="1:34" s="1977" customFormat="1" ht="21" customHeight="1" x14ac:dyDescent="0.25">
      <c r="A56" s="1979" t="s">
        <v>42</v>
      </c>
      <c r="B56" s="1980" t="s">
        <v>1476</v>
      </c>
      <c r="C56" s="23" t="s">
        <v>1477</v>
      </c>
      <c r="D56" s="1983">
        <v>292833.02299999999</v>
      </c>
      <c r="E56" s="1988"/>
      <c r="F56" s="1988"/>
      <c r="G56" s="1988"/>
      <c r="H56" s="1988"/>
      <c r="I56" s="1988"/>
      <c r="J56" s="1988"/>
      <c r="K56" s="1988"/>
      <c r="L56" s="1988">
        <v>35714.857000000004</v>
      </c>
      <c r="M56" s="1994">
        <f>L56</f>
        <v>35714.857000000004</v>
      </c>
      <c r="N56" s="1984">
        <f t="shared" si="0"/>
        <v>1</v>
      </c>
      <c r="AG56" s="1978"/>
      <c r="AH56" s="1978"/>
    </row>
    <row r="57" spans="1:34" s="1977" customFormat="1" ht="21" customHeight="1" x14ac:dyDescent="0.25">
      <c r="A57" s="1985">
        <v>2</v>
      </c>
      <c r="B57" s="1972" t="s">
        <v>1478</v>
      </c>
      <c r="C57" s="1973"/>
      <c r="D57" s="1983"/>
      <c r="E57" s="1988"/>
      <c r="F57" s="1988"/>
      <c r="G57" s="1988"/>
      <c r="H57" s="1988"/>
      <c r="I57" s="1988"/>
      <c r="J57" s="1988"/>
      <c r="K57" s="1988"/>
      <c r="L57" s="1999">
        <f>L58+L59</f>
        <v>16000</v>
      </c>
      <c r="M57" s="2000">
        <f>M58+M59</f>
        <v>4067.16</v>
      </c>
      <c r="N57" s="1962">
        <f t="shared" si="0"/>
        <v>0.25419749999999997</v>
      </c>
      <c r="AG57" s="1978"/>
      <c r="AH57" s="1978"/>
    </row>
    <row r="58" spans="1:34" s="1977" customFormat="1" ht="36" customHeight="1" x14ac:dyDescent="0.25">
      <c r="A58" s="1971" t="s">
        <v>43</v>
      </c>
      <c r="B58" s="1997" t="s">
        <v>1474</v>
      </c>
      <c r="C58" s="23" t="s">
        <v>1475</v>
      </c>
      <c r="D58" s="1994">
        <v>195540.658</v>
      </c>
      <c r="E58" s="1988"/>
      <c r="F58" s="1988"/>
      <c r="G58" s="1988"/>
      <c r="H58" s="1988"/>
      <c r="I58" s="1988"/>
      <c r="J58" s="1988"/>
      <c r="K58" s="1988"/>
      <c r="L58" s="1988">
        <v>6000</v>
      </c>
      <c r="M58" s="1994">
        <v>4067.16</v>
      </c>
      <c r="N58" s="1984">
        <f t="shared" si="0"/>
        <v>0.67786000000000002</v>
      </c>
      <c r="AG58" s="1978"/>
      <c r="AH58" s="1978"/>
    </row>
    <row r="59" spans="1:34" s="1977" customFormat="1" ht="21" customHeight="1" x14ac:dyDescent="0.25">
      <c r="A59" s="1987" t="s">
        <v>44</v>
      </c>
      <c r="B59" s="1998" t="s">
        <v>1480</v>
      </c>
      <c r="C59" s="23" t="s">
        <v>1475</v>
      </c>
      <c r="D59" s="1983">
        <v>195540.658</v>
      </c>
      <c r="E59" s="1988"/>
      <c r="F59" s="1988"/>
      <c r="G59" s="1988"/>
      <c r="H59" s="1988"/>
      <c r="I59" s="1988"/>
      <c r="J59" s="1988"/>
      <c r="K59" s="1988"/>
      <c r="L59" s="1988">
        <v>10000</v>
      </c>
      <c r="M59" s="1988"/>
      <c r="N59" s="1986">
        <f t="shared" si="0"/>
        <v>0</v>
      </c>
      <c r="AG59" s="1978"/>
      <c r="AH59" s="1978"/>
    </row>
  </sheetData>
  <mergeCells count="14">
    <mergeCell ref="M5:N5"/>
    <mergeCell ref="A1:B1"/>
    <mergeCell ref="M1:N1"/>
    <mergeCell ref="A2:N2"/>
    <mergeCell ref="A3:N3"/>
    <mergeCell ref="A4:M4"/>
    <mergeCell ref="N6:N8"/>
    <mergeCell ref="C7:C8"/>
    <mergeCell ref="A6:A8"/>
    <mergeCell ref="B6:B8"/>
    <mergeCell ref="J6:J8"/>
    <mergeCell ref="K6:K8"/>
    <mergeCell ref="L6:L8"/>
    <mergeCell ref="M6:M8"/>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39997558519241921"/>
  </sheetPr>
  <dimension ref="A1:M19"/>
  <sheetViews>
    <sheetView view="pageBreakPreview" zoomScale="120" zoomScaleNormal="100" zoomScaleSheetLayoutView="120" workbookViewId="0">
      <selection activeCell="O19" sqref="O19"/>
    </sheetView>
  </sheetViews>
  <sheetFormatPr defaultRowHeight="15.75" x14ac:dyDescent="0.25"/>
  <cols>
    <col min="1" max="1" width="28.85546875" style="578" customWidth="1"/>
    <col min="2" max="2" width="12.5703125" style="103" customWidth="1"/>
    <col min="3" max="3" width="11.28515625" style="860" customWidth="1"/>
    <col min="4" max="4" width="9.5703125" style="103" customWidth="1"/>
    <col min="5" max="5" width="11.7109375" style="103" customWidth="1"/>
    <col min="6" max="6" width="11.85546875" style="103" customWidth="1"/>
    <col min="7" max="7" width="12.5703125" style="860" customWidth="1"/>
    <col min="8" max="8" width="13.28515625" style="103" customWidth="1"/>
    <col min="9" max="9" width="11.7109375" style="103" customWidth="1"/>
    <col min="10" max="10" width="12.140625" style="103" customWidth="1"/>
    <col min="11" max="11" width="12.5703125" style="103" customWidth="1"/>
    <col min="12" max="12" width="10.7109375" style="103" bestFit="1" customWidth="1"/>
    <col min="13" max="13" width="13.7109375" style="103" customWidth="1"/>
    <col min="14" max="255" width="9.140625" style="103"/>
    <col min="256" max="256" width="5.85546875" style="103" customWidth="1"/>
    <col min="257" max="257" width="22.7109375" style="103" customWidth="1"/>
    <col min="258" max="260" width="11.7109375" style="103" customWidth="1"/>
    <col min="261" max="261" width="9.140625" style="103"/>
    <col min="262" max="267" width="11.7109375" style="103" customWidth="1"/>
    <col min="268" max="511" width="9.140625" style="103"/>
    <col min="512" max="512" width="5.85546875" style="103" customWidth="1"/>
    <col min="513" max="513" width="22.7109375" style="103" customWidth="1"/>
    <col min="514" max="516" width="11.7109375" style="103" customWidth="1"/>
    <col min="517" max="517" width="9.140625" style="103"/>
    <col min="518" max="523" width="11.7109375" style="103" customWidth="1"/>
    <col min="524" max="767" width="9.140625" style="103"/>
    <col min="768" max="768" width="5.85546875" style="103" customWidth="1"/>
    <col min="769" max="769" width="22.7109375" style="103" customWidth="1"/>
    <col min="770" max="772" width="11.7109375" style="103" customWidth="1"/>
    <col min="773" max="773" width="9.140625" style="103"/>
    <col min="774" max="779" width="11.7109375" style="103" customWidth="1"/>
    <col min="780" max="1023" width="9.140625" style="103"/>
    <col min="1024" max="1024" width="5.85546875" style="103" customWidth="1"/>
    <col min="1025" max="1025" width="22.7109375" style="103" customWidth="1"/>
    <col min="1026" max="1028" width="11.7109375" style="103" customWidth="1"/>
    <col min="1029" max="1029" width="9.140625" style="103"/>
    <col min="1030" max="1035" width="11.7109375" style="103" customWidth="1"/>
    <col min="1036" max="1279" width="9.140625" style="103"/>
    <col min="1280" max="1280" width="5.85546875" style="103" customWidth="1"/>
    <col min="1281" max="1281" width="22.7109375" style="103" customWidth="1"/>
    <col min="1282" max="1284" width="11.7109375" style="103" customWidth="1"/>
    <col min="1285" max="1285" width="9.140625" style="103"/>
    <col min="1286" max="1291" width="11.7109375" style="103" customWidth="1"/>
    <col min="1292" max="1535" width="9.140625" style="103"/>
    <col min="1536" max="1536" width="5.85546875" style="103" customWidth="1"/>
    <col min="1537" max="1537" width="22.7109375" style="103" customWidth="1"/>
    <col min="1538" max="1540" width="11.7109375" style="103" customWidth="1"/>
    <col min="1541" max="1541" width="9.140625" style="103"/>
    <col min="1542" max="1547" width="11.7109375" style="103" customWidth="1"/>
    <col min="1548" max="1791" width="9.140625" style="103"/>
    <col min="1792" max="1792" width="5.85546875" style="103" customWidth="1"/>
    <col min="1793" max="1793" width="22.7109375" style="103" customWidth="1"/>
    <col min="1794" max="1796" width="11.7109375" style="103" customWidth="1"/>
    <col min="1797" max="1797" width="9.140625" style="103"/>
    <col min="1798" max="1803" width="11.7109375" style="103" customWidth="1"/>
    <col min="1804" max="2047" width="9.140625" style="103"/>
    <col min="2048" max="2048" width="5.85546875" style="103" customWidth="1"/>
    <col min="2049" max="2049" width="22.7109375" style="103" customWidth="1"/>
    <col min="2050" max="2052" width="11.7109375" style="103" customWidth="1"/>
    <col min="2053" max="2053" width="9.140625" style="103"/>
    <col min="2054" max="2059" width="11.7109375" style="103" customWidth="1"/>
    <col min="2060" max="2303" width="9.140625" style="103"/>
    <col min="2304" max="2304" width="5.85546875" style="103" customWidth="1"/>
    <col min="2305" max="2305" width="22.7109375" style="103" customWidth="1"/>
    <col min="2306" max="2308" width="11.7109375" style="103" customWidth="1"/>
    <col min="2309" max="2309" width="9.140625" style="103"/>
    <col min="2310" max="2315" width="11.7109375" style="103" customWidth="1"/>
    <col min="2316" max="2559" width="9.140625" style="103"/>
    <col min="2560" max="2560" width="5.85546875" style="103" customWidth="1"/>
    <col min="2561" max="2561" width="22.7109375" style="103" customWidth="1"/>
    <col min="2562" max="2564" width="11.7109375" style="103" customWidth="1"/>
    <col min="2565" max="2565" width="9.140625" style="103"/>
    <col min="2566" max="2571" width="11.7109375" style="103" customWidth="1"/>
    <col min="2572" max="2815" width="9.140625" style="103"/>
    <col min="2816" max="2816" width="5.85546875" style="103" customWidth="1"/>
    <col min="2817" max="2817" width="22.7109375" style="103" customWidth="1"/>
    <col min="2818" max="2820" width="11.7109375" style="103" customWidth="1"/>
    <col min="2821" max="2821" width="9.140625" style="103"/>
    <col min="2822" max="2827" width="11.7109375" style="103" customWidth="1"/>
    <col min="2828" max="3071" width="9.140625" style="103"/>
    <col min="3072" max="3072" width="5.85546875" style="103" customWidth="1"/>
    <col min="3073" max="3073" width="22.7109375" style="103" customWidth="1"/>
    <col min="3074" max="3076" width="11.7109375" style="103" customWidth="1"/>
    <col min="3077" max="3077" width="9.140625" style="103"/>
    <col min="3078" max="3083" width="11.7109375" style="103" customWidth="1"/>
    <col min="3084" max="3327" width="9.140625" style="103"/>
    <col min="3328" max="3328" width="5.85546875" style="103" customWidth="1"/>
    <col min="3329" max="3329" width="22.7109375" style="103" customWidth="1"/>
    <col min="3330" max="3332" width="11.7109375" style="103" customWidth="1"/>
    <col min="3333" max="3333" width="9.140625" style="103"/>
    <col min="3334" max="3339" width="11.7109375" style="103" customWidth="1"/>
    <col min="3340" max="3583" width="9.140625" style="103"/>
    <col min="3584" max="3584" width="5.85546875" style="103" customWidth="1"/>
    <col min="3585" max="3585" width="22.7109375" style="103" customWidth="1"/>
    <col min="3586" max="3588" width="11.7109375" style="103" customWidth="1"/>
    <col min="3589" max="3589" width="9.140625" style="103"/>
    <col min="3590" max="3595" width="11.7109375" style="103" customWidth="1"/>
    <col min="3596" max="3839" width="9.140625" style="103"/>
    <col min="3840" max="3840" width="5.85546875" style="103" customWidth="1"/>
    <col min="3841" max="3841" width="22.7109375" style="103" customWidth="1"/>
    <col min="3842" max="3844" width="11.7109375" style="103" customWidth="1"/>
    <col min="3845" max="3845" width="9.140625" style="103"/>
    <col min="3846" max="3851" width="11.7109375" style="103" customWidth="1"/>
    <col min="3852" max="4095" width="9.140625" style="103"/>
    <col min="4096" max="4096" width="5.85546875" style="103" customWidth="1"/>
    <col min="4097" max="4097" width="22.7109375" style="103" customWidth="1"/>
    <col min="4098" max="4100" width="11.7109375" style="103" customWidth="1"/>
    <col min="4101" max="4101" width="9.140625" style="103"/>
    <col min="4102" max="4107" width="11.7109375" style="103" customWidth="1"/>
    <col min="4108" max="4351" width="9.140625" style="103"/>
    <col min="4352" max="4352" width="5.85546875" style="103" customWidth="1"/>
    <col min="4353" max="4353" width="22.7109375" style="103" customWidth="1"/>
    <col min="4354" max="4356" width="11.7109375" style="103" customWidth="1"/>
    <col min="4357" max="4357" width="9.140625" style="103"/>
    <col min="4358" max="4363" width="11.7109375" style="103" customWidth="1"/>
    <col min="4364" max="4607" width="9.140625" style="103"/>
    <col min="4608" max="4608" width="5.85546875" style="103" customWidth="1"/>
    <col min="4609" max="4609" width="22.7109375" style="103" customWidth="1"/>
    <col min="4610" max="4612" width="11.7109375" style="103" customWidth="1"/>
    <col min="4613" max="4613" width="9.140625" style="103"/>
    <col min="4614" max="4619" width="11.7109375" style="103" customWidth="1"/>
    <col min="4620" max="4863" width="9.140625" style="103"/>
    <col min="4864" max="4864" width="5.85546875" style="103" customWidth="1"/>
    <col min="4865" max="4865" width="22.7109375" style="103" customWidth="1"/>
    <col min="4866" max="4868" width="11.7109375" style="103" customWidth="1"/>
    <col min="4869" max="4869" width="9.140625" style="103"/>
    <col min="4870" max="4875" width="11.7109375" style="103" customWidth="1"/>
    <col min="4876" max="5119" width="9.140625" style="103"/>
    <col min="5120" max="5120" width="5.85546875" style="103" customWidth="1"/>
    <col min="5121" max="5121" width="22.7109375" style="103" customWidth="1"/>
    <col min="5122" max="5124" width="11.7109375" style="103" customWidth="1"/>
    <col min="5125" max="5125" width="9.140625" style="103"/>
    <col min="5126" max="5131" width="11.7109375" style="103" customWidth="1"/>
    <col min="5132" max="5375" width="9.140625" style="103"/>
    <col min="5376" max="5376" width="5.85546875" style="103" customWidth="1"/>
    <col min="5377" max="5377" width="22.7109375" style="103" customWidth="1"/>
    <col min="5378" max="5380" width="11.7109375" style="103" customWidth="1"/>
    <col min="5381" max="5381" width="9.140625" style="103"/>
    <col min="5382" max="5387" width="11.7109375" style="103" customWidth="1"/>
    <col min="5388" max="5631" width="9.140625" style="103"/>
    <col min="5632" max="5632" width="5.85546875" style="103" customWidth="1"/>
    <col min="5633" max="5633" width="22.7109375" style="103" customWidth="1"/>
    <col min="5634" max="5636" width="11.7109375" style="103" customWidth="1"/>
    <col min="5637" max="5637" width="9.140625" style="103"/>
    <col min="5638" max="5643" width="11.7109375" style="103" customWidth="1"/>
    <col min="5644" max="5887" width="9.140625" style="103"/>
    <col min="5888" max="5888" width="5.85546875" style="103" customWidth="1"/>
    <col min="5889" max="5889" width="22.7109375" style="103" customWidth="1"/>
    <col min="5890" max="5892" width="11.7109375" style="103" customWidth="1"/>
    <col min="5893" max="5893" width="9.140625" style="103"/>
    <col min="5894" max="5899" width="11.7109375" style="103" customWidth="1"/>
    <col min="5900" max="6143" width="9.140625" style="103"/>
    <col min="6144" max="6144" width="5.85546875" style="103" customWidth="1"/>
    <col min="6145" max="6145" width="22.7109375" style="103" customWidth="1"/>
    <col min="6146" max="6148" width="11.7109375" style="103" customWidth="1"/>
    <col min="6149" max="6149" width="9.140625" style="103"/>
    <col min="6150" max="6155" width="11.7109375" style="103" customWidth="1"/>
    <col min="6156" max="6399" width="9.140625" style="103"/>
    <col min="6400" max="6400" width="5.85546875" style="103" customWidth="1"/>
    <col min="6401" max="6401" width="22.7109375" style="103" customWidth="1"/>
    <col min="6402" max="6404" width="11.7109375" style="103" customWidth="1"/>
    <col min="6405" max="6405" width="9.140625" style="103"/>
    <col min="6406" max="6411" width="11.7109375" style="103" customWidth="1"/>
    <col min="6412" max="6655" width="9.140625" style="103"/>
    <col min="6656" max="6656" width="5.85546875" style="103" customWidth="1"/>
    <col min="6657" max="6657" width="22.7109375" style="103" customWidth="1"/>
    <col min="6658" max="6660" width="11.7109375" style="103" customWidth="1"/>
    <col min="6661" max="6661" width="9.140625" style="103"/>
    <col min="6662" max="6667" width="11.7109375" style="103" customWidth="1"/>
    <col min="6668" max="6911" width="9.140625" style="103"/>
    <col min="6912" max="6912" width="5.85546875" style="103" customWidth="1"/>
    <col min="6913" max="6913" width="22.7109375" style="103" customWidth="1"/>
    <col min="6914" max="6916" width="11.7109375" style="103" customWidth="1"/>
    <col min="6917" max="6917" width="9.140625" style="103"/>
    <col min="6918" max="6923" width="11.7109375" style="103" customWidth="1"/>
    <col min="6924" max="7167" width="9.140625" style="103"/>
    <col min="7168" max="7168" width="5.85546875" style="103" customWidth="1"/>
    <col min="7169" max="7169" width="22.7109375" style="103" customWidth="1"/>
    <col min="7170" max="7172" width="11.7109375" style="103" customWidth="1"/>
    <col min="7173" max="7173" width="9.140625" style="103"/>
    <col min="7174" max="7179" width="11.7109375" style="103" customWidth="1"/>
    <col min="7180" max="7423" width="9.140625" style="103"/>
    <col min="7424" max="7424" width="5.85546875" style="103" customWidth="1"/>
    <col min="7425" max="7425" width="22.7109375" style="103" customWidth="1"/>
    <col min="7426" max="7428" width="11.7109375" style="103" customWidth="1"/>
    <col min="7429" max="7429" width="9.140625" style="103"/>
    <col min="7430" max="7435" width="11.7109375" style="103" customWidth="1"/>
    <col min="7436" max="7679" width="9.140625" style="103"/>
    <col min="7680" max="7680" width="5.85546875" style="103" customWidth="1"/>
    <col min="7681" max="7681" width="22.7109375" style="103" customWidth="1"/>
    <col min="7682" max="7684" width="11.7109375" style="103" customWidth="1"/>
    <col min="7685" max="7685" width="9.140625" style="103"/>
    <col min="7686" max="7691" width="11.7109375" style="103" customWidth="1"/>
    <col min="7692" max="7935" width="9.140625" style="103"/>
    <col min="7936" max="7936" width="5.85546875" style="103" customWidth="1"/>
    <col min="7937" max="7937" width="22.7109375" style="103" customWidth="1"/>
    <col min="7938" max="7940" width="11.7109375" style="103" customWidth="1"/>
    <col min="7941" max="7941" width="9.140625" style="103"/>
    <col min="7942" max="7947" width="11.7109375" style="103" customWidth="1"/>
    <col min="7948" max="8191" width="9.140625" style="103"/>
    <col min="8192" max="8192" width="5.85546875" style="103" customWidth="1"/>
    <col min="8193" max="8193" width="22.7109375" style="103" customWidth="1"/>
    <col min="8194" max="8196" width="11.7109375" style="103" customWidth="1"/>
    <col min="8197" max="8197" width="9.140625" style="103"/>
    <col min="8198" max="8203" width="11.7109375" style="103" customWidth="1"/>
    <col min="8204" max="8447" width="9.140625" style="103"/>
    <col min="8448" max="8448" width="5.85546875" style="103" customWidth="1"/>
    <col min="8449" max="8449" width="22.7109375" style="103" customWidth="1"/>
    <col min="8450" max="8452" width="11.7109375" style="103" customWidth="1"/>
    <col min="8453" max="8453" width="9.140625" style="103"/>
    <col min="8454" max="8459" width="11.7109375" style="103" customWidth="1"/>
    <col min="8460" max="8703" width="9.140625" style="103"/>
    <col min="8704" max="8704" width="5.85546875" style="103" customWidth="1"/>
    <col min="8705" max="8705" width="22.7109375" style="103" customWidth="1"/>
    <col min="8706" max="8708" width="11.7109375" style="103" customWidth="1"/>
    <col min="8709" max="8709" width="9.140625" style="103"/>
    <col min="8710" max="8715" width="11.7109375" style="103" customWidth="1"/>
    <col min="8716" max="8959" width="9.140625" style="103"/>
    <col min="8960" max="8960" width="5.85546875" style="103" customWidth="1"/>
    <col min="8961" max="8961" width="22.7109375" style="103" customWidth="1"/>
    <col min="8962" max="8964" width="11.7109375" style="103" customWidth="1"/>
    <col min="8965" max="8965" width="9.140625" style="103"/>
    <col min="8966" max="8971" width="11.7109375" style="103" customWidth="1"/>
    <col min="8972" max="9215" width="9.140625" style="103"/>
    <col min="9216" max="9216" width="5.85546875" style="103" customWidth="1"/>
    <col min="9217" max="9217" width="22.7109375" style="103" customWidth="1"/>
    <col min="9218" max="9220" width="11.7109375" style="103" customWidth="1"/>
    <col min="9221" max="9221" width="9.140625" style="103"/>
    <col min="9222" max="9227" width="11.7109375" style="103" customWidth="1"/>
    <col min="9228" max="9471" width="9.140625" style="103"/>
    <col min="9472" max="9472" width="5.85546875" style="103" customWidth="1"/>
    <col min="9473" max="9473" width="22.7109375" style="103" customWidth="1"/>
    <col min="9474" max="9476" width="11.7109375" style="103" customWidth="1"/>
    <col min="9477" max="9477" width="9.140625" style="103"/>
    <col min="9478" max="9483" width="11.7109375" style="103" customWidth="1"/>
    <col min="9484" max="9727" width="9.140625" style="103"/>
    <col min="9728" max="9728" width="5.85546875" style="103" customWidth="1"/>
    <col min="9729" max="9729" width="22.7109375" style="103" customWidth="1"/>
    <col min="9730" max="9732" width="11.7109375" style="103" customWidth="1"/>
    <col min="9733" max="9733" width="9.140625" style="103"/>
    <col min="9734" max="9739" width="11.7109375" style="103" customWidth="1"/>
    <col min="9740" max="9983" width="9.140625" style="103"/>
    <col min="9984" max="9984" width="5.85546875" style="103" customWidth="1"/>
    <col min="9985" max="9985" width="22.7109375" style="103" customWidth="1"/>
    <col min="9986" max="9988" width="11.7109375" style="103" customWidth="1"/>
    <col min="9989" max="9989" width="9.140625" style="103"/>
    <col min="9990" max="9995" width="11.7109375" style="103" customWidth="1"/>
    <col min="9996" max="10239" width="9.140625" style="103"/>
    <col min="10240" max="10240" width="5.85546875" style="103" customWidth="1"/>
    <col min="10241" max="10241" width="22.7109375" style="103" customWidth="1"/>
    <col min="10242" max="10244" width="11.7109375" style="103" customWidth="1"/>
    <col min="10245" max="10245" width="9.140625" style="103"/>
    <col min="10246" max="10251" width="11.7109375" style="103" customWidth="1"/>
    <col min="10252" max="10495" width="9.140625" style="103"/>
    <col min="10496" max="10496" width="5.85546875" style="103" customWidth="1"/>
    <col min="10497" max="10497" width="22.7109375" style="103" customWidth="1"/>
    <col min="10498" max="10500" width="11.7109375" style="103" customWidth="1"/>
    <col min="10501" max="10501" width="9.140625" style="103"/>
    <col min="10502" max="10507" width="11.7109375" style="103" customWidth="1"/>
    <col min="10508" max="10751" width="9.140625" style="103"/>
    <col min="10752" max="10752" width="5.85546875" style="103" customWidth="1"/>
    <col min="10753" max="10753" width="22.7109375" style="103" customWidth="1"/>
    <col min="10754" max="10756" width="11.7109375" style="103" customWidth="1"/>
    <col min="10757" max="10757" width="9.140625" style="103"/>
    <col min="10758" max="10763" width="11.7109375" style="103" customWidth="1"/>
    <col min="10764" max="11007" width="9.140625" style="103"/>
    <col min="11008" max="11008" width="5.85546875" style="103" customWidth="1"/>
    <col min="11009" max="11009" width="22.7109375" style="103" customWidth="1"/>
    <col min="11010" max="11012" width="11.7109375" style="103" customWidth="1"/>
    <col min="11013" max="11013" width="9.140625" style="103"/>
    <col min="11014" max="11019" width="11.7109375" style="103" customWidth="1"/>
    <col min="11020" max="11263" width="9.140625" style="103"/>
    <col min="11264" max="11264" width="5.85546875" style="103" customWidth="1"/>
    <col min="11265" max="11265" width="22.7109375" style="103" customWidth="1"/>
    <col min="11266" max="11268" width="11.7109375" style="103" customWidth="1"/>
    <col min="11269" max="11269" width="9.140625" style="103"/>
    <col min="11270" max="11275" width="11.7109375" style="103" customWidth="1"/>
    <col min="11276" max="11519" width="9.140625" style="103"/>
    <col min="11520" max="11520" width="5.85546875" style="103" customWidth="1"/>
    <col min="11521" max="11521" width="22.7109375" style="103" customWidth="1"/>
    <col min="11522" max="11524" width="11.7109375" style="103" customWidth="1"/>
    <col min="11525" max="11525" width="9.140625" style="103"/>
    <col min="11526" max="11531" width="11.7109375" style="103" customWidth="1"/>
    <col min="11532" max="11775" width="9.140625" style="103"/>
    <col min="11776" max="11776" width="5.85546875" style="103" customWidth="1"/>
    <col min="11777" max="11777" width="22.7109375" style="103" customWidth="1"/>
    <col min="11778" max="11780" width="11.7109375" style="103" customWidth="1"/>
    <col min="11781" max="11781" width="9.140625" style="103"/>
    <col min="11782" max="11787" width="11.7109375" style="103" customWidth="1"/>
    <col min="11788" max="12031" width="9.140625" style="103"/>
    <col min="12032" max="12032" width="5.85546875" style="103" customWidth="1"/>
    <col min="12033" max="12033" width="22.7109375" style="103" customWidth="1"/>
    <col min="12034" max="12036" width="11.7109375" style="103" customWidth="1"/>
    <col min="12037" max="12037" width="9.140625" style="103"/>
    <col min="12038" max="12043" width="11.7109375" style="103" customWidth="1"/>
    <col min="12044" max="12287" width="9.140625" style="103"/>
    <col min="12288" max="12288" width="5.85546875" style="103" customWidth="1"/>
    <col min="12289" max="12289" width="22.7109375" style="103" customWidth="1"/>
    <col min="12290" max="12292" width="11.7109375" style="103" customWidth="1"/>
    <col min="12293" max="12293" width="9.140625" style="103"/>
    <col min="12294" max="12299" width="11.7109375" style="103" customWidth="1"/>
    <col min="12300" max="12543" width="9.140625" style="103"/>
    <col min="12544" max="12544" width="5.85546875" style="103" customWidth="1"/>
    <col min="12545" max="12545" width="22.7109375" style="103" customWidth="1"/>
    <col min="12546" max="12548" width="11.7109375" style="103" customWidth="1"/>
    <col min="12549" max="12549" width="9.140625" style="103"/>
    <col min="12550" max="12555" width="11.7109375" style="103" customWidth="1"/>
    <col min="12556" max="12799" width="9.140625" style="103"/>
    <col min="12800" max="12800" width="5.85546875" style="103" customWidth="1"/>
    <col min="12801" max="12801" width="22.7109375" style="103" customWidth="1"/>
    <col min="12802" max="12804" width="11.7109375" style="103" customWidth="1"/>
    <col min="12805" max="12805" width="9.140625" style="103"/>
    <col min="12806" max="12811" width="11.7109375" style="103" customWidth="1"/>
    <col min="12812" max="13055" width="9.140625" style="103"/>
    <col min="13056" max="13056" width="5.85546875" style="103" customWidth="1"/>
    <col min="13057" max="13057" width="22.7109375" style="103" customWidth="1"/>
    <col min="13058" max="13060" width="11.7109375" style="103" customWidth="1"/>
    <col min="13061" max="13061" width="9.140625" style="103"/>
    <col min="13062" max="13067" width="11.7109375" style="103" customWidth="1"/>
    <col min="13068" max="13311" width="9.140625" style="103"/>
    <col min="13312" max="13312" width="5.85546875" style="103" customWidth="1"/>
    <col min="13313" max="13313" width="22.7109375" style="103" customWidth="1"/>
    <col min="13314" max="13316" width="11.7109375" style="103" customWidth="1"/>
    <col min="13317" max="13317" width="9.140625" style="103"/>
    <col min="13318" max="13323" width="11.7109375" style="103" customWidth="1"/>
    <col min="13324" max="13567" width="9.140625" style="103"/>
    <col min="13568" max="13568" width="5.85546875" style="103" customWidth="1"/>
    <col min="13569" max="13569" width="22.7109375" style="103" customWidth="1"/>
    <col min="13570" max="13572" width="11.7109375" style="103" customWidth="1"/>
    <col min="13573" max="13573" width="9.140625" style="103"/>
    <col min="13574" max="13579" width="11.7109375" style="103" customWidth="1"/>
    <col min="13580" max="13823" width="9.140625" style="103"/>
    <col min="13824" max="13824" width="5.85546875" style="103" customWidth="1"/>
    <col min="13825" max="13825" width="22.7109375" style="103" customWidth="1"/>
    <col min="13826" max="13828" width="11.7109375" style="103" customWidth="1"/>
    <col min="13829" max="13829" width="9.140625" style="103"/>
    <col min="13830" max="13835" width="11.7109375" style="103" customWidth="1"/>
    <col min="13836" max="14079" width="9.140625" style="103"/>
    <col min="14080" max="14080" width="5.85546875" style="103" customWidth="1"/>
    <col min="14081" max="14081" width="22.7109375" style="103" customWidth="1"/>
    <col min="14082" max="14084" width="11.7109375" style="103" customWidth="1"/>
    <col min="14085" max="14085" width="9.140625" style="103"/>
    <col min="14086" max="14091" width="11.7109375" style="103" customWidth="1"/>
    <col min="14092" max="14335" width="9.140625" style="103"/>
    <col min="14336" max="14336" width="5.85546875" style="103" customWidth="1"/>
    <col min="14337" max="14337" width="22.7109375" style="103" customWidth="1"/>
    <col min="14338" max="14340" width="11.7109375" style="103" customWidth="1"/>
    <col min="14341" max="14341" width="9.140625" style="103"/>
    <col min="14342" max="14347" width="11.7109375" style="103" customWidth="1"/>
    <col min="14348" max="14591" width="9.140625" style="103"/>
    <col min="14592" max="14592" width="5.85546875" style="103" customWidth="1"/>
    <col min="14593" max="14593" width="22.7109375" style="103" customWidth="1"/>
    <col min="14594" max="14596" width="11.7109375" style="103" customWidth="1"/>
    <col min="14597" max="14597" width="9.140625" style="103"/>
    <col min="14598" max="14603" width="11.7109375" style="103" customWidth="1"/>
    <col min="14604" max="14847" width="9.140625" style="103"/>
    <col min="14848" max="14848" width="5.85546875" style="103" customWidth="1"/>
    <col min="14849" max="14849" width="22.7109375" style="103" customWidth="1"/>
    <col min="14850" max="14852" width="11.7109375" style="103" customWidth="1"/>
    <col min="14853" max="14853" width="9.140625" style="103"/>
    <col min="14854" max="14859" width="11.7109375" style="103" customWidth="1"/>
    <col min="14860" max="15103" width="9.140625" style="103"/>
    <col min="15104" max="15104" width="5.85546875" style="103" customWidth="1"/>
    <col min="15105" max="15105" width="22.7109375" style="103" customWidth="1"/>
    <col min="15106" max="15108" width="11.7109375" style="103" customWidth="1"/>
    <col min="15109" max="15109" width="9.140625" style="103"/>
    <col min="15110" max="15115" width="11.7109375" style="103" customWidth="1"/>
    <col min="15116" max="15359" width="9.140625" style="103"/>
    <col min="15360" max="15360" width="5.85546875" style="103" customWidth="1"/>
    <col min="15361" max="15361" width="22.7109375" style="103" customWidth="1"/>
    <col min="15362" max="15364" width="11.7109375" style="103" customWidth="1"/>
    <col min="15365" max="15365" width="9.140625" style="103"/>
    <col min="15366" max="15371" width="11.7109375" style="103" customWidth="1"/>
    <col min="15372" max="15615" width="9.140625" style="103"/>
    <col min="15616" max="15616" width="5.85546875" style="103" customWidth="1"/>
    <col min="15617" max="15617" width="22.7109375" style="103" customWidth="1"/>
    <col min="15618" max="15620" width="11.7109375" style="103" customWidth="1"/>
    <col min="15621" max="15621" width="9.140625" style="103"/>
    <col min="15622" max="15627" width="11.7109375" style="103" customWidth="1"/>
    <col min="15628" max="15871" width="9.140625" style="103"/>
    <col min="15872" max="15872" width="5.85546875" style="103" customWidth="1"/>
    <col min="15873" max="15873" width="22.7109375" style="103" customWidth="1"/>
    <col min="15874" max="15876" width="11.7109375" style="103" customWidth="1"/>
    <col min="15877" max="15877" width="9.140625" style="103"/>
    <col min="15878" max="15883" width="11.7109375" style="103" customWidth="1"/>
    <col min="15884" max="16127" width="9.140625" style="103"/>
    <col min="16128" max="16128" width="5.85546875" style="103" customWidth="1"/>
    <col min="16129" max="16129" width="22.7109375" style="103" customWidth="1"/>
    <col min="16130" max="16132" width="11.7109375" style="103" customWidth="1"/>
    <col min="16133" max="16133" width="9.140625" style="103"/>
    <col min="16134" max="16139" width="11.7109375" style="103" customWidth="1"/>
    <col min="16140" max="16384" width="9.140625" style="103"/>
  </cols>
  <sheetData>
    <row r="1" spans="1:13" ht="21.75" customHeight="1" x14ac:dyDescent="0.25">
      <c r="A1" s="3246" t="str">
        <f>'48_NĐ31'!A1</f>
        <v xml:space="preserve">UBND PHƯỜNG BẮC KẠN </v>
      </c>
      <c r="B1" s="3246"/>
      <c r="C1" s="3246"/>
      <c r="J1" s="3141" t="s">
        <v>975</v>
      </c>
      <c r="K1" s="3141"/>
    </row>
    <row r="2" spans="1:13" ht="21.75" hidden="1" customHeight="1" x14ac:dyDescent="0.25">
      <c r="A2" s="3141" t="s">
        <v>1521</v>
      </c>
      <c r="B2" s="3141"/>
      <c r="C2" s="3141"/>
      <c r="D2" s="3141"/>
      <c r="E2" s="3141"/>
      <c r="F2" s="3141"/>
      <c r="G2" s="3141"/>
      <c r="H2" s="3141"/>
      <c r="I2" s="3141"/>
      <c r="J2" s="3141"/>
      <c r="K2" s="3141"/>
    </row>
    <row r="3" spans="1:13" ht="26.25" customHeight="1" x14ac:dyDescent="0.25">
      <c r="A3" s="3132" t="s">
        <v>1375</v>
      </c>
      <c r="B3" s="3132"/>
      <c r="C3" s="3132"/>
      <c r="D3" s="3132"/>
      <c r="E3" s="3132"/>
      <c r="F3" s="3132"/>
      <c r="G3" s="3132"/>
      <c r="H3" s="3132"/>
      <c r="I3" s="3132"/>
      <c r="J3" s="3132"/>
      <c r="K3" s="3132"/>
    </row>
    <row r="4" spans="1:13" ht="23.25" customHeight="1" x14ac:dyDescent="0.25">
      <c r="A4" s="3184" t="str">
        <f>'62_NĐ31'!A4:N4</f>
        <v>(Kèm theo Quyết định số          /QĐ-UBND ngày          /4/2026 của UBND phường Bắc Kạn)</v>
      </c>
      <c r="B4" s="3184"/>
      <c r="C4" s="3184"/>
      <c r="D4" s="3184"/>
      <c r="E4" s="3184"/>
      <c r="F4" s="3184"/>
      <c r="G4" s="3184"/>
      <c r="H4" s="3184"/>
      <c r="I4" s="3184"/>
      <c r="J4" s="3184"/>
      <c r="K4" s="3184"/>
    </row>
    <row r="5" spans="1:13" ht="23.25" customHeight="1" x14ac:dyDescent="0.25">
      <c r="I5" s="3243" t="s">
        <v>1187</v>
      </c>
      <c r="J5" s="3243"/>
      <c r="K5" s="3243"/>
    </row>
    <row r="6" spans="1:13" s="36" customFormat="1" ht="22.5" customHeight="1" x14ac:dyDescent="0.25">
      <c r="A6" s="3244" t="s">
        <v>482</v>
      </c>
      <c r="B6" s="3245" t="s">
        <v>1484</v>
      </c>
      <c r="C6" s="3244" t="s">
        <v>1482</v>
      </c>
      <c r="D6" s="3244"/>
      <c r="E6" s="3244"/>
      <c r="F6" s="3244"/>
      <c r="G6" s="3244" t="s">
        <v>1483</v>
      </c>
      <c r="H6" s="3244"/>
      <c r="I6" s="3244"/>
      <c r="J6" s="3244"/>
      <c r="K6" s="3245" t="s">
        <v>1485</v>
      </c>
    </row>
    <row r="7" spans="1:13" s="36" customFormat="1" ht="42.75" customHeight="1" x14ac:dyDescent="0.25">
      <c r="A7" s="3244"/>
      <c r="B7" s="3245"/>
      <c r="C7" s="3244" t="s">
        <v>483</v>
      </c>
      <c r="D7" s="3244"/>
      <c r="E7" s="3244" t="s">
        <v>484</v>
      </c>
      <c r="F7" s="3245" t="s">
        <v>53</v>
      </c>
      <c r="G7" s="3244" t="s">
        <v>483</v>
      </c>
      <c r="H7" s="3244"/>
      <c r="I7" s="3244" t="s">
        <v>484</v>
      </c>
      <c r="J7" s="3244" t="s">
        <v>53</v>
      </c>
      <c r="K7" s="3245"/>
    </row>
    <row r="8" spans="1:13" s="36" customFormat="1" ht="83.25" customHeight="1" x14ac:dyDescent="0.25">
      <c r="A8" s="3244"/>
      <c r="B8" s="3245"/>
      <c r="C8" s="861" t="s">
        <v>13</v>
      </c>
      <c r="D8" s="861" t="s">
        <v>898</v>
      </c>
      <c r="E8" s="3244"/>
      <c r="F8" s="3245"/>
      <c r="G8" s="861" t="s">
        <v>13</v>
      </c>
      <c r="H8" s="861" t="s">
        <v>898</v>
      </c>
      <c r="I8" s="3244"/>
      <c r="J8" s="3244"/>
      <c r="K8" s="3245"/>
    </row>
    <row r="9" spans="1:13" s="838" customFormat="1" ht="23.25" customHeight="1" x14ac:dyDescent="0.2">
      <c r="A9" s="862" t="s">
        <v>4</v>
      </c>
      <c r="B9" s="1629">
        <v>1</v>
      </c>
      <c r="C9" s="1630">
        <v>2</v>
      </c>
      <c r="D9" s="1630">
        <v>3</v>
      </c>
      <c r="E9" s="1630">
        <v>4</v>
      </c>
      <c r="F9" s="1629" t="s">
        <v>485</v>
      </c>
      <c r="G9" s="1630">
        <v>6</v>
      </c>
      <c r="H9" s="1630">
        <v>7</v>
      </c>
      <c r="I9" s="1630">
        <v>8</v>
      </c>
      <c r="J9" s="862" t="s">
        <v>486</v>
      </c>
      <c r="K9" s="863" t="s">
        <v>487</v>
      </c>
    </row>
    <row r="10" spans="1:13" s="838" customFormat="1" ht="23.25" customHeight="1" x14ac:dyDescent="0.2">
      <c r="A10" s="865" t="s">
        <v>568</v>
      </c>
      <c r="B10" s="414"/>
      <c r="C10" s="414">
        <v>84800</v>
      </c>
      <c r="D10" s="414"/>
      <c r="E10" s="414"/>
      <c r="F10" s="414">
        <f>C10-E10</f>
        <v>84800</v>
      </c>
      <c r="G10" s="414">
        <v>84800</v>
      </c>
      <c r="H10" s="414"/>
      <c r="I10" s="414"/>
      <c r="J10" s="414">
        <f>G10-I10</f>
        <v>84800</v>
      </c>
      <c r="K10" s="414">
        <f>B10+G10+I10</f>
        <v>84800</v>
      </c>
      <c r="L10" s="866"/>
    </row>
    <row r="11" spans="1:13" s="36" customFormat="1" ht="23.25" customHeight="1" x14ac:dyDescent="0.25">
      <c r="A11" s="867" t="s">
        <v>570</v>
      </c>
      <c r="B11" s="414">
        <v>149500</v>
      </c>
      <c r="C11" s="414"/>
      <c r="D11" s="414"/>
      <c r="E11" s="414"/>
      <c r="F11" s="414">
        <f t="shared" ref="F11:F18" si="0">C11-E11</f>
        <v>0</v>
      </c>
      <c r="G11" s="414"/>
      <c r="H11" s="414"/>
      <c r="I11" s="414"/>
      <c r="J11" s="414">
        <f>G11-I11</f>
        <v>0</v>
      </c>
      <c r="K11" s="414">
        <f t="shared" ref="K11:K18" si="1">B11+G11+I11</f>
        <v>149500</v>
      </c>
    </row>
    <row r="12" spans="1:13" s="36" customFormat="1" ht="23.25" customHeight="1" x14ac:dyDescent="0.25">
      <c r="A12" s="867" t="s">
        <v>569</v>
      </c>
      <c r="B12" s="414">
        <v>45900</v>
      </c>
      <c r="C12" s="414"/>
      <c r="D12" s="414"/>
      <c r="E12" s="414"/>
      <c r="F12" s="414">
        <f t="shared" si="0"/>
        <v>0</v>
      </c>
      <c r="G12" s="414"/>
      <c r="H12" s="414"/>
      <c r="I12" s="414"/>
      <c r="J12" s="414">
        <f t="shared" ref="J12:J18" si="2">G12-I12</f>
        <v>0</v>
      </c>
      <c r="K12" s="414">
        <f t="shared" si="1"/>
        <v>45900</v>
      </c>
    </row>
    <row r="13" spans="1:13" s="36" customFormat="1" ht="23.25" customHeight="1" x14ac:dyDescent="0.25">
      <c r="A13" s="867" t="s">
        <v>611</v>
      </c>
      <c r="B13" s="414">
        <v>11200</v>
      </c>
      <c r="C13" s="414"/>
      <c r="D13" s="414"/>
      <c r="E13" s="414"/>
      <c r="F13" s="414">
        <f t="shared" si="0"/>
        <v>0</v>
      </c>
      <c r="G13" s="414"/>
      <c r="H13" s="414"/>
      <c r="I13" s="414"/>
      <c r="J13" s="414">
        <f t="shared" si="2"/>
        <v>0</v>
      </c>
      <c r="K13" s="414">
        <f t="shared" si="1"/>
        <v>11200</v>
      </c>
    </row>
    <row r="14" spans="1:13" s="36" customFormat="1" ht="23.25" hidden="1" customHeight="1" x14ac:dyDescent="0.25">
      <c r="A14" s="867" t="s">
        <v>610</v>
      </c>
      <c r="B14" s="414"/>
      <c r="C14" s="414"/>
      <c r="D14" s="414"/>
      <c r="E14" s="414"/>
      <c r="F14" s="414">
        <f t="shared" si="0"/>
        <v>0</v>
      </c>
      <c r="G14" s="414"/>
      <c r="H14" s="414"/>
      <c r="I14" s="414"/>
      <c r="J14" s="414">
        <f t="shared" si="2"/>
        <v>0</v>
      </c>
      <c r="K14" s="414">
        <f t="shared" si="1"/>
        <v>0</v>
      </c>
    </row>
    <row r="15" spans="1:13" s="36" customFormat="1" ht="23.25" hidden="1" customHeight="1" x14ac:dyDescent="0.25">
      <c r="A15" s="867" t="s">
        <v>595</v>
      </c>
      <c r="B15" s="414"/>
      <c r="C15" s="414"/>
      <c r="D15" s="414"/>
      <c r="E15" s="414"/>
      <c r="F15" s="414">
        <f t="shared" si="0"/>
        <v>0</v>
      </c>
      <c r="G15" s="414"/>
      <c r="H15" s="414"/>
      <c r="I15" s="414"/>
      <c r="J15" s="414">
        <f t="shared" si="2"/>
        <v>0</v>
      </c>
      <c r="K15" s="414">
        <f t="shared" si="1"/>
        <v>0</v>
      </c>
    </row>
    <row r="16" spans="1:13" s="36" customFormat="1" ht="22.5" hidden="1" customHeight="1" x14ac:dyDescent="0.25">
      <c r="A16" s="867" t="s">
        <v>612</v>
      </c>
      <c r="B16" s="414"/>
      <c r="C16" s="414"/>
      <c r="D16" s="414"/>
      <c r="E16" s="414"/>
      <c r="F16" s="414">
        <f t="shared" si="0"/>
        <v>0</v>
      </c>
      <c r="G16" s="414"/>
      <c r="H16" s="414"/>
      <c r="I16" s="414"/>
      <c r="J16" s="414">
        <f t="shared" si="2"/>
        <v>0</v>
      </c>
      <c r="K16" s="414">
        <f t="shared" si="1"/>
        <v>0</v>
      </c>
      <c r="M16" s="36">
        <v>938.66099999999994</v>
      </c>
    </row>
    <row r="17" spans="1:11" s="36" customFormat="1" ht="33" hidden="1" customHeight="1" x14ac:dyDescent="0.25">
      <c r="A17" s="867" t="s">
        <v>620</v>
      </c>
      <c r="B17" s="414"/>
      <c r="C17" s="414"/>
      <c r="D17" s="414"/>
      <c r="E17" s="414"/>
      <c r="F17" s="414">
        <f t="shared" si="0"/>
        <v>0</v>
      </c>
      <c r="G17" s="414"/>
      <c r="H17" s="414"/>
      <c r="I17" s="414"/>
      <c r="J17" s="414">
        <f t="shared" si="2"/>
        <v>0</v>
      </c>
      <c r="K17" s="414">
        <f t="shared" si="1"/>
        <v>0</v>
      </c>
    </row>
    <row r="18" spans="1:11" ht="15" hidden="1" x14ac:dyDescent="0.25">
      <c r="A18" s="868" t="s">
        <v>732</v>
      </c>
      <c r="B18" s="414"/>
      <c r="C18" s="414"/>
      <c r="D18" s="414"/>
      <c r="E18" s="414"/>
      <c r="F18" s="414">
        <f t="shared" si="0"/>
        <v>0</v>
      </c>
      <c r="G18" s="414"/>
      <c r="H18" s="414"/>
      <c r="I18" s="414"/>
      <c r="J18" s="414">
        <f t="shared" si="2"/>
        <v>0</v>
      </c>
      <c r="K18" s="414">
        <f t="shared" si="1"/>
        <v>0</v>
      </c>
    </row>
    <row r="19" spans="1:11" ht="24" customHeight="1" x14ac:dyDescent="0.25">
      <c r="A19" s="864" t="s">
        <v>733</v>
      </c>
      <c r="B19" s="392">
        <f>SUM(B10:B18)</f>
        <v>206600</v>
      </c>
      <c r="C19" s="392">
        <f t="shared" ref="C19:K19" si="3">SUM(C10:C18)</f>
        <v>84800</v>
      </c>
      <c r="D19" s="392">
        <f t="shared" si="3"/>
        <v>0</v>
      </c>
      <c r="E19" s="392">
        <f t="shared" si="3"/>
        <v>0</v>
      </c>
      <c r="F19" s="392">
        <f t="shared" si="3"/>
        <v>84800</v>
      </c>
      <c r="G19" s="392">
        <f t="shared" si="3"/>
        <v>84800</v>
      </c>
      <c r="H19" s="392">
        <f t="shared" si="3"/>
        <v>0</v>
      </c>
      <c r="I19" s="392">
        <f t="shared" si="3"/>
        <v>0</v>
      </c>
      <c r="J19" s="392">
        <f t="shared" si="3"/>
        <v>84800</v>
      </c>
      <c r="K19" s="392">
        <f t="shared" si="3"/>
        <v>291400</v>
      </c>
    </row>
  </sheetData>
  <mergeCells count="17">
    <mergeCell ref="J1:K1"/>
    <mergeCell ref="A2:K2"/>
    <mergeCell ref="A1:C1"/>
    <mergeCell ref="A4:K4"/>
    <mergeCell ref="A3:K3"/>
    <mergeCell ref="A6:A8"/>
    <mergeCell ref="B6:B8"/>
    <mergeCell ref="F7:F8"/>
    <mergeCell ref="J7:J8"/>
    <mergeCell ref="C6:F6"/>
    <mergeCell ref="I5:K5"/>
    <mergeCell ref="G6:J6"/>
    <mergeCell ref="K6:K8"/>
    <mergeCell ref="C7:D7"/>
    <mergeCell ref="E7:E8"/>
    <mergeCell ref="G7:H7"/>
    <mergeCell ref="I7:I8"/>
  </mergeCells>
  <pageMargins left="0.23622047244094499" right="0.15748031496063" top="0.55118110236220497" bottom="0.31496062992126" header="0.31496062992126" footer="0.31496062992126"/>
  <pageSetup paperSize="9" scale="99" firstPageNumber="32" orientation="landscape" useFirstPageNumber="1" r:id="rId1"/>
  <headerFoot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39997558519241921"/>
  </sheetPr>
  <dimension ref="A1:F29"/>
  <sheetViews>
    <sheetView view="pageBreakPreview" zoomScaleNormal="100" zoomScaleSheetLayoutView="100" workbookViewId="0">
      <pane xSplit="2" ySplit="7" topLeftCell="C20" activePane="bottomRight" state="frozen"/>
      <selection pane="topRight" activeCell="C1" sqref="C1"/>
      <selection pane="bottomLeft" activeCell="A8" sqref="A8"/>
      <selection pane="bottomRight" activeCell="C8" sqref="C8"/>
    </sheetView>
  </sheetViews>
  <sheetFormatPr defaultColWidth="9.140625" defaultRowHeight="15" x14ac:dyDescent="0.25"/>
  <cols>
    <col min="1" max="1" width="6.28515625" style="103" customWidth="1"/>
    <col min="2" max="2" width="32.7109375" style="103" customWidth="1"/>
    <col min="3" max="4" width="20.85546875" style="103" customWidth="1"/>
    <col min="5" max="5" width="14.42578125" style="103" customWidth="1"/>
    <col min="6" max="6" width="19.42578125" style="103" customWidth="1"/>
    <col min="7" max="16384" width="9.140625" style="103"/>
  </cols>
  <sheetData>
    <row r="1" spans="1:5" ht="20.25" customHeight="1" x14ac:dyDescent="0.25">
      <c r="A1" s="3248" t="str">
        <f>'48_NĐ31'!A1</f>
        <v xml:space="preserve">UBND PHƯỜNG BẮC KẠN </v>
      </c>
      <c r="B1" s="3248"/>
      <c r="D1" s="3141" t="s">
        <v>976</v>
      </c>
      <c r="E1" s="3141"/>
    </row>
    <row r="2" spans="1:5" ht="19.5" hidden="1" customHeight="1" x14ac:dyDescent="0.25">
      <c r="A2" s="3119" t="s">
        <v>1514</v>
      </c>
      <c r="B2" s="3119"/>
      <c r="C2" s="3119"/>
      <c r="D2" s="3119"/>
      <c r="E2" s="3119"/>
    </row>
    <row r="3" spans="1:5" ht="21.75" customHeight="1" x14ac:dyDescent="0.25">
      <c r="A3" s="3171" t="s">
        <v>1374</v>
      </c>
      <c r="B3" s="3171"/>
      <c r="C3" s="3171"/>
      <c r="D3" s="3171"/>
      <c r="E3" s="3171"/>
    </row>
    <row r="4" spans="1:5" ht="20.25" customHeight="1" x14ac:dyDescent="0.25">
      <c r="A4" s="3247" t="str">
        <f>'48_NĐ31'!A4:G4</f>
        <v>(Kèm theo Quyết định số          /QĐ-UBND ngày          /4/2026 của UBND phường Bắc Kạn)</v>
      </c>
      <c r="B4" s="3247"/>
      <c r="C4" s="3247"/>
      <c r="D4" s="3247"/>
      <c r="E4" s="3247"/>
    </row>
    <row r="5" spans="1:5" ht="24.75" customHeight="1" x14ac:dyDescent="0.25">
      <c r="D5" s="1606"/>
      <c r="E5" s="64" t="s">
        <v>1187</v>
      </c>
    </row>
    <row r="6" spans="1:5" s="1245" customFormat="1" ht="39" customHeight="1" x14ac:dyDescent="0.25">
      <c r="A6" s="1249" t="s">
        <v>0</v>
      </c>
      <c r="B6" s="1249" t="s">
        <v>1</v>
      </c>
      <c r="C6" s="1249" t="s">
        <v>1482</v>
      </c>
      <c r="D6" s="1608" t="s">
        <v>1483</v>
      </c>
      <c r="E6" s="1249" t="s">
        <v>414</v>
      </c>
    </row>
    <row r="7" spans="1:5" s="1631" customFormat="1" ht="20.25" customHeight="1" x14ac:dyDescent="0.25">
      <c r="A7" s="1442" t="s">
        <v>3</v>
      </c>
      <c r="B7" s="1442" t="s">
        <v>4</v>
      </c>
      <c r="C7" s="1442">
        <v>1</v>
      </c>
      <c r="D7" s="1442" t="s">
        <v>755</v>
      </c>
      <c r="E7" s="1442" t="s">
        <v>431</v>
      </c>
    </row>
    <row r="8" spans="1:5" s="36" customFormat="1" ht="22.5" customHeight="1" x14ac:dyDescent="0.25">
      <c r="A8" s="252"/>
      <c r="B8" s="5" t="s">
        <v>29</v>
      </c>
      <c r="C8" s="85">
        <f>SUM(C9:C23)</f>
        <v>4036000</v>
      </c>
      <c r="D8" s="85">
        <f>SUM(D9:D23)</f>
        <v>2823406.4050000003</v>
      </c>
      <c r="E8" s="1639"/>
    </row>
    <row r="9" spans="1:5" s="10" customFormat="1" ht="33.75" customHeight="1" x14ac:dyDescent="0.25">
      <c r="A9" s="252">
        <v>1</v>
      </c>
      <c r="B9" s="1605" t="s">
        <v>1513</v>
      </c>
      <c r="C9" s="116">
        <f>C10</f>
        <v>1319000</v>
      </c>
      <c r="D9" s="116">
        <f>D10</f>
        <v>876582.13500000001</v>
      </c>
      <c r="E9" s="1369"/>
    </row>
    <row r="10" spans="1:5" s="10" customFormat="1" ht="20.25" customHeight="1" x14ac:dyDescent="0.25">
      <c r="A10" s="684" t="s">
        <v>1000</v>
      </c>
      <c r="B10" s="1637" t="s">
        <v>1515</v>
      </c>
      <c r="C10" s="88">
        <f>SUM(C11:C17)</f>
        <v>1319000</v>
      </c>
      <c r="D10" s="88">
        <f>SUM(D11:D17)</f>
        <v>876582.13500000001</v>
      </c>
      <c r="E10" s="1632">
        <f t="shared" ref="E10:E16" si="0">D10/C10</f>
        <v>0.66458084533737682</v>
      </c>
    </row>
    <row r="11" spans="1:5" s="10" customFormat="1" ht="20.25" customHeight="1" x14ac:dyDescent="0.25">
      <c r="A11" s="68"/>
      <c r="B11" s="1052" t="s">
        <v>1486</v>
      </c>
      <c r="C11" s="70">
        <v>311000</v>
      </c>
      <c r="D11" s="70">
        <v>144460</v>
      </c>
      <c r="E11" s="1632">
        <f t="shared" si="0"/>
        <v>0.4645016077170418</v>
      </c>
    </row>
    <row r="12" spans="1:5" s="10" customFormat="1" ht="20.25" customHeight="1" x14ac:dyDescent="0.25">
      <c r="A12" s="68"/>
      <c r="B12" s="1607" t="s">
        <v>1487</v>
      </c>
      <c r="C12" s="1633">
        <v>162000</v>
      </c>
      <c r="D12" s="70">
        <v>142249</v>
      </c>
      <c r="E12" s="1632">
        <f t="shared" si="0"/>
        <v>0.87808024691358022</v>
      </c>
    </row>
    <row r="13" spans="1:5" s="10" customFormat="1" ht="20.25" customHeight="1" x14ac:dyDescent="0.25">
      <c r="A13" s="68"/>
      <c r="B13" s="1607" t="s">
        <v>1488</v>
      </c>
      <c r="C13" s="70">
        <v>50000</v>
      </c>
      <c r="D13" s="1437">
        <v>44478</v>
      </c>
      <c r="E13" s="1632">
        <f t="shared" si="0"/>
        <v>0.88956000000000002</v>
      </c>
    </row>
    <row r="14" spans="1:5" s="10" customFormat="1" ht="20.25" customHeight="1" x14ac:dyDescent="0.25">
      <c r="A14" s="68"/>
      <c r="B14" s="1052" t="s">
        <v>1489</v>
      </c>
      <c r="C14" s="70">
        <v>24000</v>
      </c>
      <c r="D14" s="70">
        <v>11925</v>
      </c>
      <c r="E14" s="1632">
        <f t="shared" si="0"/>
        <v>0.49687500000000001</v>
      </c>
    </row>
    <row r="15" spans="1:5" s="10" customFormat="1" ht="34.5" customHeight="1" x14ac:dyDescent="0.25">
      <c r="A15" s="68"/>
      <c r="B15" s="1052" t="s">
        <v>1492</v>
      </c>
      <c r="C15" s="70">
        <v>27000</v>
      </c>
      <c r="D15" s="70">
        <v>28659</v>
      </c>
      <c r="E15" s="1632">
        <f t="shared" si="0"/>
        <v>1.0614444444444444</v>
      </c>
    </row>
    <row r="16" spans="1:5" s="10" customFormat="1" ht="34.5" customHeight="1" x14ac:dyDescent="0.25">
      <c r="A16" s="68"/>
      <c r="B16" s="1052" t="s">
        <v>1493</v>
      </c>
      <c r="C16" s="70">
        <v>55000</v>
      </c>
      <c r="D16" s="70">
        <v>59210</v>
      </c>
      <c r="E16" s="1632">
        <f t="shared" si="0"/>
        <v>1.0765454545454545</v>
      </c>
    </row>
    <row r="17" spans="1:6" s="10" customFormat="1" ht="20.25" customHeight="1" x14ac:dyDescent="0.25">
      <c r="A17" s="598"/>
      <c r="B17" s="1315" t="s">
        <v>1494</v>
      </c>
      <c r="C17" s="600">
        <v>690000</v>
      </c>
      <c r="D17" s="600">
        <v>445601.13500000001</v>
      </c>
      <c r="E17" s="1638">
        <f t="shared" ref="E17" si="1">D17/C17</f>
        <v>0.64579874637681156</v>
      </c>
    </row>
    <row r="18" spans="1:6" s="204" customFormat="1" ht="20.25" customHeight="1" x14ac:dyDescent="0.25">
      <c r="A18" s="252">
        <v>2</v>
      </c>
      <c r="B18" s="619" t="s">
        <v>1530</v>
      </c>
      <c r="C18" s="116">
        <f>C19</f>
        <v>25000</v>
      </c>
      <c r="D18" s="116">
        <f>D19</f>
        <v>53400</v>
      </c>
      <c r="E18" s="1369"/>
      <c r="F18" s="2316"/>
    </row>
    <row r="19" spans="1:6" s="204" customFormat="1" ht="20.25" customHeight="1" x14ac:dyDescent="0.25">
      <c r="A19" s="252" t="s">
        <v>43</v>
      </c>
      <c r="B19" s="619" t="s">
        <v>1529</v>
      </c>
      <c r="C19" s="116">
        <f>SUM(C20:C22)</f>
        <v>25000</v>
      </c>
      <c r="D19" s="116">
        <f>SUM(D20:D22)</f>
        <v>53400</v>
      </c>
      <c r="E19" s="1369"/>
      <c r="F19" s="2316"/>
    </row>
    <row r="20" spans="1:6" s="204" customFormat="1" ht="20.25" customHeight="1" x14ac:dyDescent="0.25">
      <c r="A20" s="2310"/>
      <c r="B20" s="2311" t="s">
        <v>1531</v>
      </c>
      <c r="C20" s="2312">
        <v>15000</v>
      </c>
      <c r="D20" s="2313">
        <v>20800</v>
      </c>
      <c r="E20" s="2314">
        <f t="shared" ref="E20:E24" si="2">D20/C20</f>
        <v>1.3866666666666667</v>
      </c>
      <c r="F20" s="2316"/>
    </row>
    <row r="21" spans="1:6" s="204" customFormat="1" ht="20.25" customHeight="1" x14ac:dyDescent="0.25">
      <c r="A21" s="68"/>
      <c r="B21" s="1640" t="s">
        <v>1532</v>
      </c>
      <c r="C21" s="1641">
        <v>6000</v>
      </c>
      <c r="D21" s="70">
        <f>1730+2880+26340</f>
        <v>30950</v>
      </c>
      <c r="E21" s="1632">
        <f t="shared" si="2"/>
        <v>5.1583333333333332</v>
      </c>
      <c r="F21" s="2316"/>
    </row>
    <row r="22" spans="1:6" s="204" customFormat="1" ht="36" customHeight="1" x14ac:dyDescent="0.25">
      <c r="A22" s="68"/>
      <c r="B22" s="1640" t="s">
        <v>1533</v>
      </c>
      <c r="C22" s="1641">
        <v>4000</v>
      </c>
      <c r="D22" s="70">
        <f>600+1050</f>
        <v>1650</v>
      </c>
      <c r="E22" s="1632">
        <f t="shared" si="2"/>
        <v>0.41249999999999998</v>
      </c>
      <c r="F22" s="2316"/>
    </row>
    <row r="23" spans="1:6" s="204" customFormat="1" ht="24" customHeight="1" x14ac:dyDescent="0.25">
      <c r="A23" s="68" t="s">
        <v>44</v>
      </c>
      <c r="B23" s="1642" t="s">
        <v>1534</v>
      </c>
      <c r="C23" s="685">
        <f>C24</f>
        <v>4000</v>
      </c>
      <c r="D23" s="70">
        <f>D24</f>
        <v>33460</v>
      </c>
      <c r="E23" s="1632">
        <f t="shared" si="2"/>
        <v>8.3650000000000002</v>
      </c>
      <c r="F23" s="2317"/>
    </row>
    <row r="24" spans="1:6" s="792" customFormat="1" ht="31.5" customHeight="1" x14ac:dyDescent="0.25">
      <c r="A24" s="2318"/>
      <c r="B24" s="846" t="s">
        <v>1535</v>
      </c>
      <c r="C24" s="2318">
        <v>4000</v>
      </c>
      <c r="D24" s="2319">
        <f>16500+7210+9750</f>
        <v>33460</v>
      </c>
      <c r="E24" s="2315">
        <f t="shared" si="2"/>
        <v>8.3650000000000002</v>
      </c>
    </row>
    <row r="25" spans="1:6" ht="15.75" x14ac:dyDescent="0.25">
      <c r="A25" s="102"/>
      <c r="B25" s="102"/>
      <c r="C25" s="102"/>
      <c r="D25" s="102"/>
      <c r="E25" s="102"/>
    </row>
    <row r="26" spans="1:6" ht="15.75" x14ac:dyDescent="0.25">
      <c r="A26" s="102"/>
      <c r="B26" s="102"/>
      <c r="C26" s="102"/>
      <c r="D26" s="102"/>
      <c r="E26" s="102"/>
    </row>
    <row r="27" spans="1:6" ht="15.75" x14ac:dyDescent="0.25">
      <c r="A27" s="102"/>
      <c r="B27" s="102"/>
      <c r="C27" s="102"/>
      <c r="D27" s="102"/>
      <c r="E27" s="102"/>
    </row>
    <row r="28" spans="1:6" ht="15.75" x14ac:dyDescent="0.25">
      <c r="A28" s="102"/>
      <c r="B28" s="102"/>
      <c r="C28" s="102"/>
      <c r="D28" s="102"/>
      <c r="E28" s="102"/>
    </row>
    <row r="29" spans="1:6" ht="15.75" x14ac:dyDescent="0.25">
      <c r="A29" s="102"/>
      <c r="B29" s="102"/>
      <c r="C29" s="102"/>
      <c r="D29" s="102"/>
      <c r="E29" s="102"/>
    </row>
  </sheetData>
  <mergeCells count="5">
    <mergeCell ref="A3:E3"/>
    <mergeCell ref="A4:E4"/>
    <mergeCell ref="D1:E1"/>
    <mergeCell ref="A2:E2"/>
    <mergeCell ref="A1:B1"/>
  </mergeCells>
  <printOptions horizontalCentered="1"/>
  <pageMargins left="0.62992125984252001" right="0.59055118110236204" top="0.62992125984252001" bottom="0.80118110200000003" header="0.31496062992126" footer="0.31496062992126"/>
  <pageSetup paperSize="9" scale="96" firstPageNumber="33" orientation="portrait" useFirstPageNumber="1" r:id="rId1"/>
  <headerFooter>
    <oddFooter>&amp;C&amp;P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tint="0.39997558519241921"/>
  </sheetPr>
  <dimension ref="A1:AE30"/>
  <sheetViews>
    <sheetView view="pageBreakPreview" topLeftCell="A7" zoomScale="80" zoomScaleNormal="80" zoomScaleSheetLayoutView="80" zoomScalePageLayoutView="70" workbookViewId="0">
      <selection activeCell="B37" sqref="B37"/>
    </sheetView>
  </sheetViews>
  <sheetFormatPr defaultColWidth="9.140625" defaultRowHeight="15" x14ac:dyDescent="0.25"/>
  <cols>
    <col min="1" max="1" width="40.5703125" style="36" customWidth="1"/>
    <col min="2" max="2" width="20.7109375" style="90" customWidth="1"/>
    <col min="3" max="3" width="15.28515625" style="179" hidden="1" customWidth="1"/>
    <col min="4" max="4" width="21.85546875" style="179" customWidth="1"/>
    <col min="5" max="5" width="39.28515625" style="36" customWidth="1"/>
    <col min="6" max="6" width="20.140625" style="36" customWidth="1"/>
    <col min="7" max="7" width="15.5703125" style="179" hidden="1" customWidth="1"/>
    <col min="8" max="8" width="20.5703125" style="36" customWidth="1"/>
    <col min="9" max="9" width="15.7109375" style="36" hidden="1" customWidth="1"/>
    <col min="10" max="10" width="17.5703125" style="179" hidden="1" customWidth="1"/>
    <col min="11" max="11" width="24.28515625" style="36" hidden="1" customWidth="1"/>
    <col min="12" max="12" width="43.28515625" style="36" hidden="1" customWidth="1"/>
    <col min="13" max="17" width="9.140625" style="36" hidden="1" customWidth="1"/>
    <col min="18" max="29" width="0" style="36" hidden="1" customWidth="1"/>
    <col min="30" max="30" width="29.5703125" style="36" customWidth="1"/>
    <col min="31" max="31" width="27.140625" style="36" customWidth="1"/>
    <col min="32" max="16384" width="9.140625" style="36"/>
  </cols>
  <sheetData>
    <row r="1" spans="1:31" s="204" customFormat="1" ht="24.75" customHeight="1" x14ac:dyDescent="0.25">
      <c r="A1" s="244" t="str">
        <f>'48_NĐ31'!A1</f>
        <v xml:space="preserve">UBND PHƯỜNG BẮC KẠN </v>
      </c>
      <c r="B1" s="1340"/>
      <c r="C1" s="1569"/>
      <c r="D1" s="1569"/>
      <c r="G1" s="3129" t="s">
        <v>977</v>
      </c>
      <c r="H1" s="3129"/>
      <c r="J1" s="1569"/>
    </row>
    <row r="2" spans="1:31" ht="16.5" customHeight="1" x14ac:dyDescent="0.25">
      <c r="A2" s="3235"/>
      <c r="B2" s="3235"/>
      <c r="C2" s="3235"/>
      <c r="D2" s="3235"/>
      <c r="E2" s="3235"/>
      <c r="F2" s="3235"/>
      <c r="G2" s="3235"/>
      <c r="H2" s="3235"/>
      <c r="J2" s="828"/>
    </row>
    <row r="3" spans="1:31" ht="21" customHeight="1" x14ac:dyDescent="0.25">
      <c r="A3" s="3129" t="s">
        <v>1911</v>
      </c>
      <c r="B3" s="3129"/>
      <c r="C3" s="3129"/>
      <c r="D3" s="3129"/>
      <c r="E3" s="3129"/>
      <c r="F3" s="3129"/>
      <c r="G3" s="3129"/>
      <c r="H3" s="3129"/>
    </row>
    <row r="4" spans="1:31" ht="18.600000000000001" customHeight="1" x14ac:dyDescent="0.25">
      <c r="A4" s="3172" t="str">
        <f>'48_NĐ31'!A4:G4</f>
        <v>(Kèm theo Quyết định số          /QĐ-UBND ngày          /4/2026 của UBND phường Bắc Kạn)</v>
      </c>
      <c r="B4" s="3172"/>
      <c r="C4" s="3172"/>
      <c r="D4" s="3172"/>
      <c r="E4" s="3172"/>
      <c r="F4" s="3172"/>
      <c r="G4" s="3172"/>
      <c r="H4" s="3172"/>
    </row>
    <row r="5" spans="1:31" ht="22.5" customHeight="1" x14ac:dyDescent="0.25">
      <c r="F5" s="2066"/>
      <c r="G5" s="3146" t="s">
        <v>1187</v>
      </c>
      <c r="H5" s="3146"/>
    </row>
    <row r="6" spans="1:31" ht="38.25" customHeight="1" x14ac:dyDescent="0.25">
      <c r="A6" s="5" t="s">
        <v>83</v>
      </c>
      <c r="B6" s="2067" t="s">
        <v>13</v>
      </c>
      <c r="C6" s="2068" t="s">
        <v>84</v>
      </c>
      <c r="D6" s="2068" t="s">
        <v>85</v>
      </c>
      <c r="E6" s="5" t="s">
        <v>86</v>
      </c>
      <c r="F6" s="5" t="s">
        <v>13</v>
      </c>
      <c r="G6" s="2068" t="s">
        <v>87</v>
      </c>
      <c r="H6" s="5" t="s">
        <v>88</v>
      </c>
      <c r="L6" s="46"/>
    </row>
    <row r="7" spans="1:31" ht="21" customHeight="1" x14ac:dyDescent="0.25">
      <c r="A7" s="252">
        <v>1</v>
      </c>
      <c r="B7" s="1346">
        <v>2</v>
      </c>
      <c r="C7" s="2069">
        <v>3</v>
      </c>
      <c r="D7" s="2070" t="s">
        <v>1451</v>
      </c>
      <c r="E7" s="2070" t="s">
        <v>1704</v>
      </c>
      <c r="F7" s="2070" t="s">
        <v>1709</v>
      </c>
      <c r="G7" s="2069">
        <v>7</v>
      </c>
      <c r="H7" s="252">
        <v>6</v>
      </c>
      <c r="K7" s="829">
        <f>K8-B9</f>
        <v>-362688914.708</v>
      </c>
      <c r="AE7" s="314"/>
    </row>
    <row r="8" spans="1:31" ht="31.9" customHeight="1" x14ac:dyDescent="0.25">
      <c r="A8" s="1809" t="s">
        <v>547</v>
      </c>
      <c r="B8" s="1810">
        <f t="shared" ref="B8:B10" si="0">SUM(C8:D8)</f>
        <v>377577237.37099999</v>
      </c>
      <c r="C8" s="833">
        <f>C9</f>
        <v>0</v>
      </c>
      <c r="D8" s="1811">
        <f>D9</f>
        <v>377577237.37099999</v>
      </c>
      <c r="E8" s="1809" t="s">
        <v>548</v>
      </c>
      <c r="F8" s="1804">
        <f>SUM(G8:H8)</f>
        <v>374832535.13300002</v>
      </c>
      <c r="G8" s="833">
        <f>G9</f>
        <v>0</v>
      </c>
      <c r="H8" s="1804">
        <f>H9</f>
        <v>374832535.13300002</v>
      </c>
      <c r="I8" s="312">
        <f>'62_TT342'!G9</f>
        <v>359944212.46999997</v>
      </c>
      <c r="J8" s="312" t="e">
        <f>'5.11'!G10</f>
        <v>#REF!</v>
      </c>
      <c r="K8" s="829">
        <f>'62_TT342'!F9</f>
        <v>14888322.662999999</v>
      </c>
      <c r="L8" s="288">
        <f>K8-G8</f>
        <v>14888322.662999999</v>
      </c>
      <c r="AD8" s="2490"/>
      <c r="AE8" s="869"/>
    </row>
    <row r="9" spans="1:31" ht="24.95" customHeight="1" x14ac:dyDescent="0.25">
      <c r="A9" s="1358" t="s">
        <v>549</v>
      </c>
      <c r="B9" s="1810">
        <f>SUM(C9:D9)</f>
        <v>377577237.37099999</v>
      </c>
      <c r="C9" s="833">
        <f>SUM(C10:C15,C18)</f>
        <v>0</v>
      </c>
      <c r="D9" s="1811">
        <f>SUM(D10:D15,D18)</f>
        <v>377577237.37099999</v>
      </c>
      <c r="E9" s="1812" t="s">
        <v>550</v>
      </c>
      <c r="F9" s="1804">
        <f>SUM(G9:H9)</f>
        <v>374832535.13300002</v>
      </c>
      <c r="G9" s="833">
        <f>SUM(G10:G18)</f>
        <v>0</v>
      </c>
      <c r="H9" s="1804">
        <f>SUM(H10:H18)</f>
        <v>374832535.13300002</v>
      </c>
      <c r="I9" s="46"/>
      <c r="J9" s="314" t="e">
        <f>J8-H8</f>
        <v>#REF!</v>
      </c>
      <c r="K9" s="288">
        <f>'54_NĐ31'!I10</f>
        <v>327412680.54599994</v>
      </c>
      <c r="L9" s="288">
        <f>K9-G9</f>
        <v>327412680.54599994</v>
      </c>
      <c r="AD9" s="2491"/>
      <c r="AE9" s="869"/>
    </row>
    <row r="10" spans="1:31" ht="23.25" customHeight="1" x14ac:dyDescent="0.25">
      <c r="A10" s="1813" t="s">
        <v>551</v>
      </c>
      <c r="B10" s="1814">
        <f t="shared" si="0"/>
        <v>2602455.8850000002</v>
      </c>
      <c r="C10" s="1821"/>
      <c r="D10" s="2477">
        <f>'61_TT342'!I30</f>
        <v>2602455.8850000002</v>
      </c>
      <c r="E10" s="2478" t="s">
        <v>582</v>
      </c>
      <c r="F10" s="2479">
        <f>SUM(G10:H10)</f>
        <v>23185254.901000001</v>
      </c>
      <c r="G10" s="2480"/>
      <c r="H10" s="2479">
        <v>23185254.901000001</v>
      </c>
      <c r="I10" s="589">
        <f>C10+C11</f>
        <v>0</v>
      </c>
      <c r="J10" s="831">
        <f>'61_TT342'!H10</f>
        <v>0</v>
      </c>
      <c r="K10" s="288">
        <f>K9-G8</f>
        <v>327412680.54599994</v>
      </c>
      <c r="L10" s="288"/>
      <c r="AD10" s="46"/>
      <c r="AE10" s="870"/>
    </row>
    <row r="11" spans="1:31" ht="31.5" customHeight="1" x14ac:dyDescent="0.25">
      <c r="A11" s="1815" t="s">
        <v>552</v>
      </c>
      <c r="B11" s="858">
        <f t="shared" ref="B11:B18" si="1">SUM(C11:D11)</f>
        <v>0</v>
      </c>
      <c r="C11" s="858"/>
      <c r="D11" s="1818"/>
      <c r="E11" s="2481" t="s">
        <v>553</v>
      </c>
      <c r="F11" s="1437"/>
      <c r="G11" s="2482"/>
      <c r="H11" s="1437"/>
      <c r="I11" s="589">
        <f>D10+D11</f>
        <v>2602455.8850000002</v>
      </c>
      <c r="J11" s="831">
        <f>'61_TT342'!I10</f>
        <v>2602455.8850000002</v>
      </c>
      <c r="K11" s="288"/>
      <c r="L11" s="174"/>
      <c r="AE11" s="871"/>
    </row>
    <row r="12" spans="1:31" ht="30" customHeight="1" x14ac:dyDescent="0.25">
      <c r="A12" s="1815" t="s">
        <v>727</v>
      </c>
      <c r="B12" s="1816">
        <f t="shared" si="1"/>
        <v>500799.277</v>
      </c>
      <c r="C12" s="858">
        <f>'61_TT342'!H34</f>
        <v>0</v>
      </c>
      <c r="D12" s="1818">
        <f>'61_TT342'!I34</f>
        <v>500799.277</v>
      </c>
      <c r="E12" s="2481"/>
      <c r="F12" s="1437"/>
      <c r="G12" s="2482"/>
      <c r="H12" s="1437"/>
      <c r="I12" s="589"/>
      <c r="J12" s="831"/>
      <c r="K12" s="288"/>
      <c r="L12" s="174"/>
      <c r="AE12" s="869"/>
    </row>
    <row r="13" spans="1:31" ht="23.25" customHeight="1" x14ac:dyDescent="0.25">
      <c r="A13" s="1815" t="s">
        <v>728</v>
      </c>
      <c r="B13" s="1816">
        <f t="shared" si="1"/>
        <v>474795.33199999999</v>
      </c>
      <c r="C13" s="858">
        <f>'61_TT342'!H43</f>
        <v>0</v>
      </c>
      <c r="D13" s="1818">
        <f>'61_TT342'!I43</f>
        <v>474795.33199999999</v>
      </c>
      <c r="E13" s="2481" t="s">
        <v>554</v>
      </c>
      <c r="F13" s="1437">
        <f>SUM(G13:H13)</f>
        <v>304227425.64499998</v>
      </c>
      <c r="G13" s="2482"/>
      <c r="H13" s="2535">
        <v>304227425.64499998</v>
      </c>
      <c r="K13" s="288">
        <f>C10+C11</f>
        <v>0</v>
      </c>
      <c r="L13" s="174"/>
      <c r="AE13" s="869"/>
    </row>
    <row r="14" spans="1:31" ht="34.5" customHeight="1" x14ac:dyDescent="0.25">
      <c r="A14" s="1815" t="s">
        <v>729</v>
      </c>
      <c r="B14" s="1816">
        <f t="shared" si="1"/>
        <v>5270579.1229999997</v>
      </c>
      <c r="C14" s="858">
        <f>'61_TT342'!H42</f>
        <v>0</v>
      </c>
      <c r="D14" s="1818">
        <f>'61_TT342'!I42</f>
        <v>5270579.1229999997</v>
      </c>
      <c r="E14" s="2481" t="s">
        <v>555</v>
      </c>
      <c r="F14" s="1437"/>
      <c r="G14" s="2482"/>
      <c r="H14" s="1437"/>
      <c r="I14" s="139"/>
      <c r="K14" s="288">
        <f>B10+B11</f>
        <v>2602455.8850000002</v>
      </c>
      <c r="AD14" s="1359"/>
      <c r="AE14" s="869"/>
    </row>
    <row r="15" spans="1:31" ht="36" customHeight="1" x14ac:dyDescent="0.25">
      <c r="A15" s="1815" t="s">
        <v>730</v>
      </c>
      <c r="B15" s="1816">
        <f t="shared" si="1"/>
        <v>368728607.75400001</v>
      </c>
      <c r="C15" s="858">
        <f>SUM(C16:C17)</f>
        <v>0</v>
      </c>
      <c r="D15" s="1818">
        <f>SUM(D16:D17)</f>
        <v>368728607.75400001</v>
      </c>
      <c r="E15" s="2481" t="s">
        <v>556</v>
      </c>
      <c r="F15" s="2482">
        <f>SUM(G15:H15)</f>
        <v>0</v>
      </c>
      <c r="G15" s="2482"/>
      <c r="H15" s="1437"/>
      <c r="K15" s="288">
        <f>'61_TT342'!H9</f>
        <v>0</v>
      </c>
      <c r="AE15" s="869"/>
    </row>
    <row r="16" spans="1:31" ht="23.25" customHeight="1" x14ac:dyDescent="0.25">
      <c r="A16" s="1815" t="s">
        <v>89</v>
      </c>
      <c r="B16" s="1816">
        <f t="shared" si="1"/>
        <v>256253874.59200001</v>
      </c>
      <c r="C16" s="1822">
        <f>'61_TT342'!H37</f>
        <v>0</v>
      </c>
      <c r="D16" s="1818">
        <f>'61_TT342'!I37</f>
        <v>256253874.59200001</v>
      </c>
      <c r="E16" s="2481" t="s">
        <v>557</v>
      </c>
      <c r="F16" s="1437">
        <f>SUM(G16:H16)</f>
        <v>36659241.707000002</v>
      </c>
      <c r="G16" s="2482"/>
      <c r="H16" s="1437">
        <v>36659241.707000002</v>
      </c>
      <c r="I16" s="832"/>
      <c r="K16" s="288">
        <f>'61_TT342'!I9</f>
        <v>3103255.1620000005</v>
      </c>
      <c r="AD16" s="229"/>
      <c r="AE16" s="869"/>
    </row>
    <row r="17" spans="1:31" ht="23.25" customHeight="1" x14ac:dyDescent="0.25">
      <c r="A17" s="1815" t="s">
        <v>598</v>
      </c>
      <c r="B17" s="1816">
        <f t="shared" si="1"/>
        <v>112474733.162</v>
      </c>
      <c r="C17" s="1822">
        <f>'61_TT342'!H39</f>
        <v>0</v>
      </c>
      <c r="D17" s="1818">
        <f>'61_TT342'!I39</f>
        <v>112474733.162</v>
      </c>
      <c r="E17" s="2481" t="s">
        <v>558</v>
      </c>
      <c r="F17" s="1437">
        <f>SUM(G17:H17)</f>
        <v>10510612.880000001</v>
      </c>
      <c r="G17" s="2482"/>
      <c r="H17" s="1437">
        <v>10510612.880000001</v>
      </c>
      <c r="K17" s="288"/>
      <c r="AE17" s="869"/>
    </row>
    <row r="18" spans="1:31" ht="23.25" customHeight="1" x14ac:dyDescent="0.25">
      <c r="A18" s="1820" t="s">
        <v>731</v>
      </c>
      <c r="B18" s="1823">
        <f t="shared" si="1"/>
        <v>0</v>
      </c>
      <c r="C18" s="1823">
        <f>'61_TT342'!E41</f>
        <v>0</v>
      </c>
      <c r="D18" s="2483"/>
      <c r="E18" s="2484" t="s">
        <v>824</v>
      </c>
      <c r="F18" s="1437">
        <f>SUM(G18:H18)</f>
        <v>250000</v>
      </c>
      <c r="G18" s="2485"/>
      <c r="H18" s="2486">
        <v>250000</v>
      </c>
      <c r="K18" s="288"/>
      <c r="AD18" s="335"/>
      <c r="AE18" s="869"/>
    </row>
    <row r="19" spans="1:31" s="44" customFormat="1" ht="31.15" customHeight="1" x14ac:dyDescent="0.2">
      <c r="A19" s="3249" t="s">
        <v>546</v>
      </c>
      <c r="B19" s="3249"/>
      <c r="C19" s="833"/>
      <c r="D19" s="2487"/>
      <c r="E19" s="1358"/>
      <c r="F19" s="1358">
        <f>SUM(G19:H19)</f>
        <v>2744702.2379999757</v>
      </c>
      <c r="G19" s="2488">
        <f>C8-G8</f>
        <v>0</v>
      </c>
      <c r="H19" s="1358">
        <f>D8-H8</f>
        <v>2744702.2379999757</v>
      </c>
      <c r="I19" s="242" t="e">
        <f>'5.13'!J8</f>
        <v>#REF!</v>
      </c>
      <c r="J19" s="177"/>
      <c r="K19" s="290">
        <f>'57_NĐ31'!K9</f>
        <v>2893754.9080000063</v>
      </c>
      <c r="AD19" s="329"/>
      <c r="AE19" s="869"/>
    </row>
    <row r="20" spans="1:31" ht="13.5" hidden="1" customHeight="1" x14ac:dyDescent="0.25">
      <c r="A20" s="10"/>
      <c r="I20" s="593" t="e">
        <f>H19-I19</f>
        <v>#REF!</v>
      </c>
      <c r="J20" s="312">
        <f>'5.31'!D8</f>
        <v>1935.3493410000001</v>
      </c>
      <c r="K20" s="297">
        <f>G19-K19</f>
        <v>-2893754.9080000063</v>
      </c>
      <c r="AE20" s="869"/>
    </row>
    <row r="21" spans="1:31" ht="18" hidden="1" customHeight="1" x14ac:dyDescent="0.25">
      <c r="A21" s="3140" t="s">
        <v>2338</v>
      </c>
      <c r="B21" s="3140"/>
      <c r="C21" s="836"/>
      <c r="D21" s="836"/>
      <c r="E21" s="835"/>
      <c r="F21" s="3140" t="s">
        <v>2337</v>
      </c>
      <c r="G21" s="3140"/>
      <c r="H21" s="3140"/>
      <c r="J21" s="592">
        <f>G19-J20</f>
        <v>-1935.3493410000001</v>
      </c>
      <c r="K21" s="314">
        <v>170</v>
      </c>
      <c r="AE21" s="869"/>
    </row>
    <row r="22" spans="1:31" ht="25.5" hidden="1" customHeight="1" x14ac:dyDescent="0.25">
      <c r="A22" s="3132" t="s">
        <v>1370</v>
      </c>
      <c r="B22" s="3132"/>
      <c r="C22" s="3142" t="s">
        <v>1507</v>
      </c>
      <c r="D22" s="3142"/>
      <c r="E22" s="3142"/>
      <c r="F22" s="3132" t="s">
        <v>1372</v>
      </c>
      <c r="G22" s="3132"/>
      <c r="H22" s="3132"/>
      <c r="J22" s="288">
        <v>27.1617</v>
      </c>
      <c r="K22" s="551">
        <f>K20-K21</f>
        <v>-2893924.9080000063</v>
      </c>
      <c r="AE22" s="869"/>
    </row>
    <row r="23" spans="1:31" ht="15.75" hidden="1" x14ac:dyDescent="0.25">
      <c r="A23" s="3140" t="s">
        <v>12</v>
      </c>
      <c r="B23" s="3140"/>
      <c r="C23" s="3132" t="s">
        <v>1371</v>
      </c>
      <c r="D23" s="3132"/>
      <c r="E23" s="3132"/>
      <c r="F23" s="3132" t="s">
        <v>513</v>
      </c>
      <c r="G23" s="3132"/>
      <c r="H23" s="3132"/>
      <c r="J23" s="292">
        <f>J21-J22</f>
        <v>-1962.5110410000002</v>
      </c>
      <c r="K23" s="314"/>
    </row>
    <row r="24" spans="1:31" ht="21.75" hidden="1" customHeight="1" x14ac:dyDescent="0.25">
      <c r="A24" s="3132" t="s">
        <v>1912</v>
      </c>
      <c r="B24" s="3132"/>
      <c r="C24" s="837"/>
      <c r="D24" s="837"/>
      <c r="E24" s="102"/>
      <c r="F24" s="102"/>
      <c r="G24" s="371"/>
      <c r="J24" s="592">
        <v>2910.9969999999998</v>
      </c>
      <c r="K24" s="294"/>
    </row>
    <row r="25" spans="1:31" ht="15.75" hidden="1" x14ac:dyDescent="0.25">
      <c r="A25" s="63"/>
      <c r="B25" s="63"/>
      <c r="C25" s="837"/>
      <c r="D25" s="837"/>
      <c r="E25" s="102"/>
      <c r="F25" s="102"/>
      <c r="G25" s="371"/>
      <c r="J25" s="172">
        <f>'[5]sau QT'!$E$5</f>
        <v>2898432000</v>
      </c>
    </row>
    <row r="26" spans="1:31" ht="15.75" hidden="1" x14ac:dyDescent="0.25">
      <c r="B26" s="36"/>
      <c r="C26" s="371"/>
      <c r="D26" s="371"/>
      <c r="E26" s="102"/>
      <c r="F26" s="102"/>
      <c r="G26" s="371"/>
      <c r="J26" s="179">
        <f>J23-J24</f>
        <v>-4873.508041</v>
      </c>
    </row>
    <row r="27" spans="1:31" ht="15.75" hidden="1" x14ac:dyDescent="0.25">
      <c r="B27" s="36"/>
      <c r="C27" s="377"/>
      <c r="D27" s="377"/>
      <c r="E27" s="377"/>
      <c r="F27" s="689"/>
      <c r="G27" s="1824"/>
    </row>
    <row r="28" spans="1:31" ht="15.75" hidden="1" x14ac:dyDescent="0.25">
      <c r="B28" s="36"/>
      <c r="C28" s="371"/>
      <c r="D28" s="371"/>
      <c r="E28" s="102"/>
      <c r="F28" s="102"/>
      <c r="G28" s="371"/>
    </row>
    <row r="29" spans="1:31" ht="15.75" hidden="1" x14ac:dyDescent="0.25">
      <c r="B29" s="36"/>
      <c r="C29" s="371"/>
      <c r="D29" s="371"/>
      <c r="E29" s="102"/>
      <c r="F29" s="102"/>
      <c r="G29" s="371"/>
    </row>
    <row r="30" spans="1:31" ht="18.75" hidden="1" x14ac:dyDescent="0.3">
      <c r="B30" s="36"/>
      <c r="C30" s="3121" t="s">
        <v>1386</v>
      </c>
      <c r="D30" s="3121"/>
      <c r="E30" s="3121"/>
      <c r="F30" s="3121" t="s">
        <v>1373</v>
      </c>
      <c r="G30" s="3121"/>
      <c r="H30" s="3121"/>
    </row>
  </sheetData>
  <mergeCells count="17">
    <mergeCell ref="A2:H2"/>
    <mergeCell ref="F23:H23"/>
    <mergeCell ref="G1:H1"/>
    <mergeCell ref="F21:H21"/>
    <mergeCell ref="C30:E30"/>
    <mergeCell ref="F30:H30"/>
    <mergeCell ref="A3:H3"/>
    <mergeCell ref="A19:B19"/>
    <mergeCell ref="A4:H4"/>
    <mergeCell ref="A23:B23"/>
    <mergeCell ref="A24:B24"/>
    <mergeCell ref="A21:B21"/>
    <mergeCell ref="C22:E22"/>
    <mergeCell ref="F22:H22"/>
    <mergeCell ref="A22:B22"/>
    <mergeCell ref="C23:E23"/>
    <mergeCell ref="G5:H5"/>
  </mergeCells>
  <printOptions horizontalCentered="1"/>
  <pageMargins left="0.54" right="0.27559055118110198" top="0.53" bottom="0.49" header="0.31496062992126" footer="0.31496062992126"/>
  <pageSetup paperSize="9" scale="80" firstPageNumber="34" fitToHeight="0" orientation="landscape" useFirstPageNumber="1" r:id="rId1"/>
  <headerFooter>
    <oddFooter>&amp;C&amp;P</oddFooter>
  </headerFooter>
  <colBreaks count="1" manualBreakCount="1">
    <brk id="8" max="28"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98368-087F-47F2-A0E4-FF58E3230E53}">
  <dimension ref="A1:S34"/>
  <sheetViews>
    <sheetView workbookViewId="0">
      <selection activeCell="G25" sqref="G25"/>
    </sheetView>
  </sheetViews>
  <sheetFormatPr defaultRowHeight="15.75" x14ac:dyDescent="0.25"/>
  <cols>
    <col min="1" max="1" width="4" style="1167" customWidth="1"/>
    <col min="2" max="2" width="27" style="1163" customWidth="1"/>
    <col min="3" max="3" width="19.28515625" style="1162" bestFit="1" customWidth="1"/>
    <col min="4" max="4" width="9.85546875" style="1163" customWidth="1"/>
    <col min="5" max="5" width="19.28515625" style="1163" customWidth="1"/>
    <col min="6" max="6" width="16.85546875" style="1163" customWidth="1"/>
    <col min="7" max="7" width="15.28515625" style="1163" customWidth="1"/>
    <col min="8" max="8" width="15.7109375" style="1162" customWidth="1"/>
    <col min="9" max="9" width="18.28515625" style="1163" bestFit="1" customWidth="1"/>
    <col min="10" max="10" width="15.140625" style="1207" customWidth="1"/>
    <col min="11" max="11" width="18.7109375" style="1163" customWidth="1"/>
    <col min="12" max="12" width="17" style="1163" customWidth="1"/>
    <col min="13" max="13" width="16.5703125" style="1163" bestFit="1" customWidth="1"/>
    <col min="14" max="14" width="16.28515625" style="1165" customWidth="1"/>
    <col min="15" max="15" width="11.5703125" style="1165" customWidth="1"/>
    <col min="16" max="16" width="17.28515625" style="1165" customWidth="1"/>
    <col min="17" max="17" width="12.42578125" style="1163" bestFit="1" customWidth="1"/>
    <col min="18" max="238" width="9.140625" style="1163"/>
    <col min="239" max="239" width="4" style="1163" customWidth="1"/>
    <col min="240" max="240" width="29.42578125" style="1163" customWidth="1"/>
    <col min="241" max="241" width="10" style="1163" customWidth="1"/>
    <col min="242" max="242" width="9.85546875" style="1163" customWidth="1"/>
    <col min="243" max="243" width="10.85546875" style="1163" customWidth="1"/>
    <col min="244" max="244" width="11" style="1163" customWidth="1"/>
    <col min="245" max="245" width="11.140625" style="1163" customWidth="1"/>
    <col min="246" max="246" width="11.5703125" style="1163" customWidth="1"/>
    <col min="247" max="247" width="10.42578125" style="1163" customWidth="1"/>
    <col min="248" max="248" width="9.140625" style="1163"/>
    <col min="249" max="250" width="9.28515625" style="1163" customWidth="1"/>
    <col min="251" max="251" width="8.5703125" style="1163" customWidth="1"/>
    <col min="252" max="252" width="14.5703125" style="1163" customWidth="1"/>
    <col min="253" max="494" width="9.140625" style="1163"/>
    <col min="495" max="495" width="4" style="1163" customWidth="1"/>
    <col min="496" max="496" width="29.42578125" style="1163" customWidth="1"/>
    <col min="497" max="497" width="10" style="1163" customWidth="1"/>
    <col min="498" max="498" width="9.85546875" style="1163" customWidth="1"/>
    <col min="499" max="499" width="10.85546875" style="1163" customWidth="1"/>
    <col min="500" max="500" width="11" style="1163" customWidth="1"/>
    <col min="501" max="501" width="11.140625" style="1163" customWidth="1"/>
    <col min="502" max="502" width="11.5703125" style="1163" customWidth="1"/>
    <col min="503" max="503" width="10.42578125" style="1163" customWidth="1"/>
    <col min="504" max="504" width="9.140625" style="1163"/>
    <col min="505" max="506" width="9.28515625" style="1163" customWidth="1"/>
    <col min="507" max="507" width="8.5703125" style="1163" customWidth="1"/>
    <col min="508" max="508" width="14.5703125" style="1163" customWidth="1"/>
    <col min="509" max="750" width="9.140625" style="1163"/>
    <col min="751" max="751" width="4" style="1163" customWidth="1"/>
    <col min="752" max="752" width="29.42578125" style="1163" customWidth="1"/>
    <col min="753" max="753" width="10" style="1163" customWidth="1"/>
    <col min="754" max="754" width="9.85546875" style="1163" customWidth="1"/>
    <col min="755" max="755" width="10.85546875" style="1163" customWidth="1"/>
    <col min="756" max="756" width="11" style="1163" customWidth="1"/>
    <col min="757" max="757" width="11.140625" style="1163" customWidth="1"/>
    <col min="758" max="758" width="11.5703125" style="1163" customWidth="1"/>
    <col min="759" max="759" width="10.42578125" style="1163" customWidth="1"/>
    <col min="760" max="760" width="9.140625" style="1163"/>
    <col min="761" max="762" width="9.28515625" style="1163" customWidth="1"/>
    <col min="763" max="763" width="8.5703125" style="1163" customWidth="1"/>
    <col min="764" max="764" width="14.5703125" style="1163" customWidth="1"/>
    <col min="765" max="1006" width="9.140625" style="1163"/>
    <col min="1007" max="1007" width="4" style="1163" customWidth="1"/>
    <col min="1008" max="1008" width="29.42578125" style="1163" customWidth="1"/>
    <col min="1009" max="1009" width="10" style="1163" customWidth="1"/>
    <col min="1010" max="1010" width="9.85546875" style="1163" customWidth="1"/>
    <col min="1011" max="1011" width="10.85546875" style="1163" customWidth="1"/>
    <col min="1012" max="1012" width="11" style="1163" customWidth="1"/>
    <col min="1013" max="1013" width="11.140625" style="1163" customWidth="1"/>
    <col min="1014" max="1014" width="11.5703125" style="1163" customWidth="1"/>
    <col min="1015" max="1015" width="10.42578125" style="1163" customWidth="1"/>
    <col min="1016" max="1016" width="9.140625" style="1163"/>
    <col min="1017" max="1018" width="9.28515625" style="1163" customWidth="1"/>
    <col min="1019" max="1019" width="8.5703125" style="1163" customWidth="1"/>
    <col min="1020" max="1020" width="14.5703125" style="1163" customWidth="1"/>
    <col min="1021" max="1262" width="9.140625" style="1163"/>
    <col min="1263" max="1263" width="4" style="1163" customWidth="1"/>
    <col min="1264" max="1264" width="29.42578125" style="1163" customWidth="1"/>
    <col min="1265" max="1265" width="10" style="1163" customWidth="1"/>
    <col min="1266" max="1266" width="9.85546875" style="1163" customWidth="1"/>
    <col min="1267" max="1267" width="10.85546875" style="1163" customWidth="1"/>
    <col min="1268" max="1268" width="11" style="1163" customWidth="1"/>
    <col min="1269" max="1269" width="11.140625" style="1163" customWidth="1"/>
    <col min="1270" max="1270" width="11.5703125" style="1163" customWidth="1"/>
    <col min="1271" max="1271" width="10.42578125" style="1163" customWidth="1"/>
    <col min="1272" max="1272" width="9.140625" style="1163"/>
    <col min="1273" max="1274" width="9.28515625" style="1163" customWidth="1"/>
    <col min="1275" max="1275" width="8.5703125" style="1163" customWidth="1"/>
    <col min="1276" max="1276" width="14.5703125" style="1163" customWidth="1"/>
    <col min="1277" max="1518" width="9.140625" style="1163"/>
    <col min="1519" max="1519" width="4" style="1163" customWidth="1"/>
    <col min="1520" max="1520" width="29.42578125" style="1163" customWidth="1"/>
    <col min="1521" max="1521" width="10" style="1163" customWidth="1"/>
    <col min="1522" max="1522" width="9.85546875" style="1163" customWidth="1"/>
    <col min="1523" max="1523" width="10.85546875" style="1163" customWidth="1"/>
    <col min="1524" max="1524" width="11" style="1163" customWidth="1"/>
    <col min="1525" max="1525" width="11.140625" style="1163" customWidth="1"/>
    <col min="1526" max="1526" width="11.5703125" style="1163" customWidth="1"/>
    <col min="1527" max="1527" width="10.42578125" style="1163" customWidth="1"/>
    <col min="1528" max="1528" width="9.140625" style="1163"/>
    <col min="1529" max="1530" width="9.28515625" style="1163" customWidth="1"/>
    <col min="1531" max="1531" width="8.5703125" style="1163" customWidth="1"/>
    <col min="1532" max="1532" width="14.5703125" style="1163" customWidth="1"/>
    <col min="1533" max="1774" width="9.140625" style="1163"/>
    <col min="1775" max="1775" width="4" style="1163" customWidth="1"/>
    <col min="1776" max="1776" width="29.42578125" style="1163" customWidth="1"/>
    <col min="1777" max="1777" width="10" style="1163" customWidth="1"/>
    <col min="1778" max="1778" width="9.85546875" style="1163" customWidth="1"/>
    <col min="1779" max="1779" width="10.85546875" style="1163" customWidth="1"/>
    <col min="1780" max="1780" width="11" style="1163" customWidth="1"/>
    <col min="1781" max="1781" width="11.140625" style="1163" customWidth="1"/>
    <col min="1782" max="1782" width="11.5703125" style="1163" customWidth="1"/>
    <col min="1783" max="1783" width="10.42578125" style="1163" customWidth="1"/>
    <col min="1784" max="1784" width="9.140625" style="1163"/>
    <col min="1785" max="1786" width="9.28515625" style="1163" customWidth="1"/>
    <col min="1787" max="1787" width="8.5703125" style="1163" customWidth="1"/>
    <col min="1788" max="1788" width="14.5703125" style="1163" customWidth="1"/>
    <col min="1789" max="2030" width="9.140625" style="1163"/>
    <col min="2031" max="2031" width="4" style="1163" customWidth="1"/>
    <col min="2032" max="2032" width="29.42578125" style="1163" customWidth="1"/>
    <col min="2033" max="2033" width="10" style="1163" customWidth="1"/>
    <col min="2034" max="2034" width="9.85546875" style="1163" customWidth="1"/>
    <col min="2035" max="2035" width="10.85546875" style="1163" customWidth="1"/>
    <col min="2036" max="2036" width="11" style="1163" customWidth="1"/>
    <col min="2037" max="2037" width="11.140625" style="1163" customWidth="1"/>
    <col min="2038" max="2038" width="11.5703125" style="1163" customWidth="1"/>
    <col min="2039" max="2039" width="10.42578125" style="1163" customWidth="1"/>
    <col min="2040" max="2040" width="9.140625" style="1163"/>
    <col min="2041" max="2042" width="9.28515625" style="1163" customWidth="1"/>
    <col min="2043" max="2043" width="8.5703125" style="1163" customWidth="1"/>
    <col min="2044" max="2044" width="14.5703125" style="1163" customWidth="1"/>
    <col min="2045" max="2286" width="9.140625" style="1163"/>
    <col min="2287" max="2287" width="4" style="1163" customWidth="1"/>
    <col min="2288" max="2288" width="29.42578125" style="1163" customWidth="1"/>
    <col min="2289" max="2289" width="10" style="1163" customWidth="1"/>
    <col min="2290" max="2290" width="9.85546875" style="1163" customWidth="1"/>
    <col min="2291" max="2291" width="10.85546875" style="1163" customWidth="1"/>
    <col min="2292" max="2292" width="11" style="1163" customWidth="1"/>
    <col min="2293" max="2293" width="11.140625" style="1163" customWidth="1"/>
    <col min="2294" max="2294" width="11.5703125" style="1163" customWidth="1"/>
    <col min="2295" max="2295" width="10.42578125" style="1163" customWidth="1"/>
    <col min="2296" max="2296" width="9.140625" style="1163"/>
    <col min="2297" max="2298" width="9.28515625" style="1163" customWidth="1"/>
    <col min="2299" max="2299" width="8.5703125" style="1163" customWidth="1"/>
    <col min="2300" max="2300" width="14.5703125" style="1163" customWidth="1"/>
    <col min="2301" max="2542" width="9.140625" style="1163"/>
    <col min="2543" max="2543" width="4" style="1163" customWidth="1"/>
    <col min="2544" max="2544" width="29.42578125" style="1163" customWidth="1"/>
    <col min="2545" max="2545" width="10" style="1163" customWidth="1"/>
    <col min="2546" max="2546" width="9.85546875" style="1163" customWidth="1"/>
    <col min="2547" max="2547" width="10.85546875" style="1163" customWidth="1"/>
    <col min="2548" max="2548" width="11" style="1163" customWidth="1"/>
    <col min="2549" max="2549" width="11.140625" style="1163" customWidth="1"/>
    <col min="2550" max="2550" width="11.5703125" style="1163" customWidth="1"/>
    <col min="2551" max="2551" width="10.42578125" style="1163" customWidth="1"/>
    <col min="2552" max="2552" width="9.140625" style="1163"/>
    <col min="2553" max="2554" width="9.28515625" style="1163" customWidth="1"/>
    <col min="2555" max="2555" width="8.5703125" style="1163" customWidth="1"/>
    <col min="2556" max="2556" width="14.5703125" style="1163" customWidth="1"/>
    <col min="2557" max="2798" width="9.140625" style="1163"/>
    <col min="2799" max="2799" width="4" style="1163" customWidth="1"/>
    <col min="2800" max="2800" width="29.42578125" style="1163" customWidth="1"/>
    <col min="2801" max="2801" width="10" style="1163" customWidth="1"/>
    <col min="2802" max="2802" width="9.85546875" style="1163" customWidth="1"/>
    <col min="2803" max="2803" width="10.85546875" style="1163" customWidth="1"/>
    <col min="2804" max="2804" width="11" style="1163" customWidth="1"/>
    <col min="2805" max="2805" width="11.140625" style="1163" customWidth="1"/>
    <col min="2806" max="2806" width="11.5703125" style="1163" customWidth="1"/>
    <col min="2807" max="2807" width="10.42578125" style="1163" customWidth="1"/>
    <col min="2808" max="2808" width="9.140625" style="1163"/>
    <col min="2809" max="2810" width="9.28515625" style="1163" customWidth="1"/>
    <col min="2811" max="2811" width="8.5703125" style="1163" customWidth="1"/>
    <col min="2812" max="2812" width="14.5703125" style="1163" customWidth="1"/>
    <col min="2813" max="3054" width="9.140625" style="1163"/>
    <col min="3055" max="3055" width="4" style="1163" customWidth="1"/>
    <col min="3056" max="3056" width="29.42578125" style="1163" customWidth="1"/>
    <col min="3057" max="3057" width="10" style="1163" customWidth="1"/>
    <col min="3058" max="3058" width="9.85546875" style="1163" customWidth="1"/>
    <col min="3059" max="3059" width="10.85546875" style="1163" customWidth="1"/>
    <col min="3060" max="3060" width="11" style="1163" customWidth="1"/>
    <col min="3061" max="3061" width="11.140625" style="1163" customWidth="1"/>
    <col min="3062" max="3062" width="11.5703125" style="1163" customWidth="1"/>
    <col min="3063" max="3063" width="10.42578125" style="1163" customWidth="1"/>
    <col min="3064" max="3064" width="9.140625" style="1163"/>
    <col min="3065" max="3066" width="9.28515625" style="1163" customWidth="1"/>
    <col min="3067" max="3067" width="8.5703125" style="1163" customWidth="1"/>
    <col min="3068" max="3068" width="14.5703125" style="1163" customWidth="1"/>
    <col min="3069" max="3310" width="9.140625" style="1163"/>
    <col min="3311" max="3311" width="4" style="1163" customWidth="1"/>
    <col min="3312" max="3312" width="29.42578125" style="1163" customWidth="1"/>
    <col min="3313" max="3313" width="10" style="1163" customWidth="1"/>
    <col min="3314" max="3314" width="9.85546875" style="1163" customWidth="1"/>
    <col min="3315" max="3315" width="10.85546875" style="1163" customWidth="1"/>
    <col min="3316" max="3316" width="11" style="1163" customWidth="1"/>
    <col min="3317" max="3317" width="11.140625" style="1163" customWidth="1"/>
    <col min="3318" max="3318" width="11.5703125" style="1163" customWidth="1"/>
    <col min="3319" max="3319" width="10.42578125" style="1163" customWidth="1"/>
    <col min="3320" max="3320" width="9.140625" style="1163"/>
    <col min="3321" max="3322" width="9.28515625" style="1163" customWidth="1"/>
    <col min="3323" max="3323" width="8.5703125" style="1163" customWidth="1"/>
    <col min="3324" max="3324" width="14.5703125" style="1163" customWidth="1"/>
    <col min="3325" max="3566" width="9.140625" style="1163"/>
    <col min="3567" max="3567" width="4" style="1163" customWidth="1"/>
    <col min="3568" max="3568" width="29.42578125" style="1163" customWidth="1"/>
    <col min="3569" max="3569" width="10" style="1163" customWidth="1"/>
    <col min="3570" max="3570" width="9.85546875" style="1163" customWidth="1"/>
    <col min="3571" max="3571" width="10.85546875" style="1163" customWidth="1"/>
    <col min="3572" max="3572" width="11" style="1163" customWidth="1"/>
    <col min="3573" max="3573" width="11.140625" style="1163" customWidth="1"/>
    <col min="3574" max="3574" width="11.5703125" style="1163" customWidth="1"/>
    <col min="3575" max="3575" width="10.42578125" style="1163" customWidth="1"/>
    <col min="3576" max="3576" width="9.140625" style="1163"/>
    <col min="3577" max="3578" width="9.28515625" style="1163" customWidth="1"/>
    <col min="3579" max="3579" width="8.5703125" style="1163" customWidth="1"/>
    <col min="3580" max="3580" width="14.5703125" style="1163" customWidth="1"/>
    <col min="3581" max="3822" width="9.140625" style="1163"/>
    <col min="3823" max="3823" width="4" style="1163" customWidth="1"/>
    <col min="3824" max="3824" width="29.42578125" style="1163" customWidth="1"/>
    <col min="3825" max="3825" width="10" style="1163" customWidth="1"/>
    <col min="3826" max="3826" width="9.85546875" style="1163" customWidth="1"/>
    <col min="3827" max="3827" width="10.85546875" style="1163" customWidth="1"/>
    <col min="3828" max="3828" width="11" style="1163" customWidth="1"/>
    <col min="3829" max="3829" width="11.140625" style="1163" customWidth="1"/>
    <col min="3830" max="3830" width="11.5703125" style="1163" customWidth="1"/>
    <col min="3831" max="3831" width="10.42578125" style="1163" customWidth="1"/>
    <col min="3832" max="3832" width="9.140625" style="1163"/>
    <col min="3833" max="3834" width="9.28515625" style="1163" customWidth="1"/>
    <col min="3835" max="3835" width="8.5703125" style="1163" customWidth="1"/>
    <col min="3836" max="3836" width="14.5703125" style="1163" customWidth="1"/>
    <col min="3837" max="4078" width="9.140625" style="1163"/>
    <col min="4079" max="4079" width="4" style="1163" customWidth="1"/>
    <col min="4080" max="4080" width="29.42578125" style="1163" customWidth="1"/>
    <col min="4081" max="4081" width="10" style="1163" customWidth="1"/>
    <col min="4082" max="4082" width="9.85546875" style="1163" customWidth="1"/>
    <col min="4083" max="4083" width="10.85546875" style="1163" customWidth="1"/>
    <col min="4084" max="4084" width="11" style="1163" customWidth="1"/>
    <col min="4085" max="4085" width="11.140625" style="1163" customWidth="1"/>
    <col min="4086" max="4086" width="11.5703125" style="1163" customWidth="1"/>
    <col min="4087" max="4087" width="10.42578125" style="1163" customWidth="1"/>
    <col min="4088" max="4088" width="9.140625" style="1163"/>
    <col min="4089" max="4090" width="9.28515625" style="1163" customWidth="1"/>
    <col min="4091" max="4091" width="8.5703125" style="1163" customWidth="1"/>
    <col min="4092" max="4092" width="14.5703125" style="1163" customWidth="1"/>
    <col min="4093" max="4334" width="9.140625" style="1163"/>
    <col min="4335" max="4335" width="4" style="1163" customWidth="1"/>
    <col min="4336" max="4336" width="29.42578125" style="1163" customWidth="1"/>
    <col min="4337" max="4337" width="10" style="1163" customWidth="1"/>
    <col min="4338" max="4338" width="9.85546875" style="1163" customWidth="1"/>
    <col min="4339" max="4339" width="10.85546875" style="1163" customWidth="1"/>
    <col min="4340" max="4340" width="11" style="1163" customWidth="1"/>
    <col min="4341" max="4341" width="11.140625" style="1163" customWidth="1"/>
    <col min="4342" max="4342" width="11.5703125" style="1163" customWidth="1"/>
    <col min="4343" max="4343" width="10.42578125" style="1163" customWidth="1"/>
    <col min="4344" max="4344" width="9.140625" style="1163"/>
    <col min="4345" max="4346" width="9.28515625" style="1163" customWidth="1"/>
    <col min="4347" max="4347" width="8.5703125" style="1163" customWidth="1"/>
    <col min="4348" max="4348" width="14.5703125" style="1163" customWidth="1"/>
    <col min="4349" max="4590" width="9.140625" style="1163"/>
    <col min="4591" max="4591" width="4" style="1163" customWidth="1"/>
    <col min="4592" max="4592" width="29.42578125" style="1163" customWidth="1"/>
    <col min="4593" max="4593" width="10" style="1163" customWidth="1"/>
    <col min="4594" max="4594" width="9.85546875" style="1163" customWidth="1"/>
    <col min="4595" max="4595" width="10.85546875" style="1163" customWidth="1"/>
    <col min="4596" max="4596" width="11" style="1163" customWidth="1"/>
    <col min="4597" max="4597" width="11.140625" style="1163" customWidth="1"/>
    <col min="4598" max="4598" width="11.5703125" style="1163" customWidth="1"/>
    <col min="4599" max="4599" width="10.42578125" style="1163" customWidth="1"/>
    <col min="4600" max="4600" width="9.140625" style="1163"/>
    <col min="4601" max="4602" width="9.28515625" style="1163" customWidth="1"/>
    <col min="4603" max="4603" width="8.5703125" style="1163" customWidth="1"/>
    <col min="4604" max="4604" width="14.5703125" style="1163" customWidth="1"/>
    <col min="4605" max="4846" width="9.140625" style="1163"/>
    <col min="4847" max="4847" width="4" style="1163" customWidth="1"/>
    <col min="4848" max="4848" width="29.42578125" style="1163" customWidth="1"/>
    <col min="4849" max="4849" width="10" style="1163" customWidth="1"/>
    <col min="4850" max="4850" width="9.85546875" style="1163" customWidth="1"/>
    <col min="4851" max="4851" width="10.85546875" style="1163" customWidth="1"/>
    <col min="4852" max="4852" width="11" style="1163" customWidth="1"/>
    <col min="4853" max="4853" width="11.140625" style="1163" customWidth="1"/>
    <col min="4854" max="4854" width="11.5703125" style="1163" customWidth="1"/>
    <col min="4855" max="4855" width="10.42578125" style="1163" customWidth="1"/>
    <col min="4856" max="4856" width="9.140625" style="1163"/>
    <col min="4857" max="4858" width="9.28515625" style="1163" customWidth="1"/>
    <col min="4859" max="4859" width="8.5703125" style="1163" customWidth="1"/>
    <col min="4860" max="4860" width="14.5703125" style="1163" customWidth="1"/>
    <col min="4861" max="5102" width="9.140625" style="1163"/>
    <col min="5103" max="5103" width="4" style="1163" customWidth="1"/>
    <col min="5104" max="5104" width="29.42578125" style="1163" customWidth="1"/>
    <col min="5105" max="5105" width="10" style="1163" customWidth="1"/>
    <col min="5106" max="5106" width="9.85546875" style="1163" customWidth="1"/>
    <col min="5107" max="5107" width="10.85546875" style="1163" customWidth="1"/>
    <col min="5108" max="5108" width="11" style="1163" customWidth="1"/>
    <col min="5109" max="5109" width="11.140625" style="1163" customWidth="1"/>
    <col min="5110" max="5110" width="11.5703125" style="1163" customWidth="1"/>
    <col min="5111" max="5111" width="10.42578125" style="1163" customWidth="1"/>
    <col min="5112" max="5112" width="9.140625" style="1163"/>
    <col min="5113" max="5114" width="9.28515625" style="1163" customWidth="1"/>
    <col min="5115" max="5115" width="8.5703125" style="1163" customWidth="1"/>
    <col min="5116" max="5116" width="14.5703125" style="1163" customWidth="1"/>
    <col min="5117" max="5358" width="9.140625" style="1163"/>
    <col min="5359" max="5359" width="4" style="1163" customWidth="1"/>
    <col min="5360" max="5360" width="29.42578125" style="1163" customWidth="1"/>
    <col min="5361" max="5361" width="10" style="1163" customWidth="1"/>
    <col min="5362" max="5362" width="9.85546875" style="1163" customWidth="1"/>
    <col min="5363" max="5363" width="10.85546875" style="1163" customWidth="1"/>
    <col min="5364" max="5364" width="11" style="1163" customWidth="1"/>
    <col min="5365" max="5365" width="11.140625" style="1163" customWidth="1"/>
    <col min="5366" max="5366" width="11.5703125" style="1163" customWidth="1"/>
    <col min="5367" max="5367" width="10.42578125" style="1163" customWidth="1"/>
    <col min="5368" max="5368" width="9.140625" style="1163"/>
    <col min="5369" max="5370" width="9.28515625" style="1163" customWidth="1"/>
    <col min="5371" max="5371" width="8.5703125" style="1163" customWidth="1"/>
    <col min="5372" max="5372" width="14.5703125" style="1163" customWidth="1"/>
    <col min="5373" max="5614" width="9.140625" style="1163"/>
    <col min="5615" max="5615" width="4" style="1163" customWidth="1"/>
    <col min="5616" max="5616" width="29.42578125" style="1163" customWidth="1"/>
    <col min="5617" max="5617" width="10" style="1163" customWidth="1"/>
    <col min="5618" max="5618" width="9.85546875" style="1163" customWidth="1"/>
    <col min="5619" max="5619" width="10.85546875" style="1163" customWidth="1"/>
    <col min="5620" max="5620" width="11" style="1163" customWidth="1"/>
    <col min="5621" max="5621" width="11.140625" style="1163" customWidth="1"/>
    <col min="5622" max="5622" width="11.5703125" style="1163" customWidth="1"/>
    <col min="5623" max="5623" width="10.42578125" style="1163" customWidth="1"/>
    <col min="5624" max="5624" width="9.140625" style="1163"/>
    <col min="5625" max="5626" width="9.28515625" style="1163" customWidth="1"/>
    <col min="5627" max="5627" width="8.5703125" style="1163" customWidth="1"/>
    <col min="5628" max="5628" width="14.5703125" style="1163" customWidth="1"/>
    <col min="5629" max="5870" width="9.140625" style="1163"/>
    <col min="5871" max="5871" width="4" style="1163" customWidth="1"/>
    <col min="5872" max="5872" width="29.42578125" style="1163" customWidth="1"/>
    <col min="5873" max="5873" width="10" style="1163" customWidth="1"/>
    <col min="5874" max="5874" width="9.85546875" style="1163" customWidth="1"/>
    <col min="5875" max="5875" width="10.85546875" style="1163" customWidth="1"/>
    <col min="5876" max="5876" width="11" style="1163" customWidth="1"/>
    <col min="5877" max="5877" width="11.140625" style="1163" customWidth="1"/>
    <col min="5878" max="5878" width="11.5703125" style="1163" customWidth="1"/>
    <col min="5879" max="5879" width="10.42578125" style="1163" customWidth="1"/>
    <col min="5880" max="5880" width="9.140625" style="1163"/>
    <col min="5881" max="5882" width="9.28515625" style="1163" customWidth="1"/>
    <col min="5883" max="5883" width="8.5703125" style="1163" customWidth="1"/>
    <col min="5884" max="5884" width="14.5703125" style="1163" customWidth="1"/>
    <col min="5885" max="6126" width="9.140625" style="1163"/>
    <col min="6127" max="6127" width="4" style="1163" customWidth="1"/>
    <col min="6128" max="6128" width="29.42578125" style="1163" customWidth="1"/>
    <col min="6129" max="6129" width="10" style="1163" customWidth="1"/>
    <col min="6130" max="6130" width="9.85546875" style="1163" customWidth="1"/>
    <col min="6131" max="6131" width="10.85546875" style="1163" customWidth="1"/>
    <col min="6132" max="6132" width="11" style="1163" customWidth="1"/>
    <col min="6133" max="6133" width="11.140625" style="1163" customWidth="1"/>
    <col min="6134" max="6134" width="11.5703125" style="1163" customWidth="1"/>
    <col min="6135" max="6135" width="10.42578125" style="1163" customWidth="1"/>
    <col min="6136" max="6136" width="9.140625" style="1163"/>
    <col min="6137" max="6138" width="9.28515625" style="1163" customWidth="1"/>
    <col min="6139" max="6139" width="8.5703125" style="1163" customWidth="1"/>
    <col min="6140" max="6140" width="14.5703125" style="1163" customWidth="1"/>
    <col min="6141" max="6382" width="9.140625" style="1163"/>
    <col min="6383" max="6383" width="4" style="1163" customWidth="1"/>
    <col min="6384" max="6384" width="29.42578125" style="1163" customWidth="1"/>
    <col min="6385" max="6385" width="10" style="1163" customWidth="1"/>
    <col min="6386" max="6386" width="9.85546875" style="1163" customWidth="1"/>
    <col min="6387" max="6387" width="10.85546875" style="1163" customWidth="1"/>
    <col min="6388" max="6388" width="11" style="1163" customWidth="1"/>
    <col min="6389" max="6389" width="11.140625" style="1163" customWidth="1"/>
    <col min="6390" max="6390" width="11.5703125" style="1163" customWidth="1"/>
    <col min="6391" max="6391" width="10.42578125" style="1163" customWidth="1"/>
    <col min="6392" max="6392" width="9.140625" style="1163"/>
    <col min="6393" max="6394" width="9.28515625" style="1163" customWidth="1"/>
    <col min="6395" max="6395" width="8.5703125" style="1163" customWidth="1"/>
    <col min="6396" max="6396" width="14.5703125" style="1163" customWidth="1"/>
    <col min="6397" max="6638" width="9.140625" style="1163"/>
    <col min="6639" max="6639" width="4" style="1163" customWidth="1"/>
    <col min="6640" max="6640" width="29.42578125" style="1163" customWidth="1"/>
    <col min="6641" max="6641" width="10" style="1163" customWidth="1"/>
    <col min="6642" max="6642" width="9.85546875" style="1163" customWidth="1"/>
    <col min="6643" max="6643" width="10.85546875" style="1163" customWidth="1"/>
    <col min="6644" max="6644" width="11" style="1163" customWidth="1"/>
    <col min="6645" max="6645" width="11.140625" style="1163" customWidth="1"/>
    <col min="6646" max="6646" width="11.5703125" style="1163" customWidth="1"/>
    <col min="6647" max="6647" width="10.42578125" style="1163" customWidth="1"/>
    <col min="6648" max="6648" width="9.140625" style="1163"/>
    <col min="6649" max="6650" width="9.28515625" style="1163" customWidth="1"/>
    <col min="6651" max="6651" width="8.5703125" style="1163" customWidth="1"/>
    <col min="6652" max="6652" width="14.5703125" style="1163" customWidth="1"/>
    <col min="6653" max="6894" width="9.140625" style="1163"/>
    <col min="6895" max="6895" width="4" style="1163" customWidth="1"/>
    <col min="6896" max="6896" width="29.42578125" style="1163" customWidth="1"/>
    <col min="6897" max="6897" width="10" style="1163" customWidth="1"/>
    <col min="6898" max="6898" width="9.85546875" style="1163" customWidth="1"/>
    <col min="6899" max="6899" width="10.85546875" style="1163" customWidth="1"/>
    <col min="6900" max="6900" width="11" style="1163" customWidth="1"/>
    <col min="6901" max="6901" width="11.140625" style="1163" customWidth="1"/>
    <col min="6902" max="6902" width="11.5703125" style="1163" customWidth="1"/>
    <col min="6903" max="6903" width="10.42578125" style="1163" customWidth="1"/>
    <col min="6904" max="6904" width="9.140625" style="1163"/>
    <col min="6905" max="6906" width="9.28515625" style="1163" customWidth="1"/>
    <col min="6907" max="6907" width="8.5703125" style="1163" customWidth="1"/>
    <col min="6908" max="6908" width="14.5703125" style="1163" customWidth="1"/>
    <col min="6909" max="7150" width="9.140625" style="1163"/>
    <col min="7151" max="7151" width="4" style="1163" customWidth="1"/>
    <col min="7152" max="7152" width="29.42578125" style="1163" customWidth="1"/>
    <col min="7153" max="7153" width="10" style="1163" customWidth="1"/>
    <col min="7154" max="7154" width="9.85546875" style="1163" customWidth="1"/>
    <col min="7155" max="7155" width="10.85546875" style="1163" customWidth="1"/>
    <col min="7156" max="7156" width="11" style="1163" customWidth="1"/>
    <col min="7157" max="7157" width="11.140625" style="1163" customWidth="1"/>
    <col min="7158" max="7158" width="11.5703125" style="1163" customWidth="1"/>
    <col min="7159" max="7159" width="10.42578125" style="1163" customWidth="1"/>
    <col min="7160" max="7160" width="9.140625" style="1163"/>
    <col min="7161" max="7162" width="9.28515625" style="1163" customWidth="1"/>
    <col min="7163" max="7163" width="8.5703125" style="1163" customWidth="1"/>
    <col min="7164" max="7164" width="14.5703125" style="1163" customWidth="1"/>
    <col min="7165" max="7406" width="9.140625" style="1163"/>
    <col min="7407" max="7407" width="4" style="1163" customWidth="1"/>
    <col min="7408" max="7408" width="29.42578125" style="1163" customWidth="1"/>
    <col min="7409" max="7409" width="10" style="1163" customWidth="1"/>
    <col min="7410" max="7410" width="9.85546875" style="1163" customWidth="1"/>
    <col min="7411" max="7411" width="10.85546875" style="1163" customWidth="1"/>
    <col min="7412" max="7412" width="11" style="1163" customWidth="1"/>
    <col min="7413" max="7413" width="11.140625" style="1163" customWidth="1"/>
    <col min="7414" max="7414" width="11.5703125" style="1163" customWidth="1"/>
    <col min="7415" max="7415" width="10.42578125" style="1163" customWidth="1"/>
    <col min="7416" max="7416" width="9.140625" style="1163"/>
    <col min="7417" max="7418" width="9.28515625" style="1163" customWidth="1"/>
    <col min="7419" max="7419" width="8.5703125" style="1163" customWidth="1"/>
    <col min="7420" max="7420" width="14.5703125" style="1163" customWidth="1"/>
    <col min="7421" max="7662" width="9.140625" style="1163"/>
    <col min="7663" max="7663" width="4" style="1163" customWidth="1"/>
    <col min="7664" max="7664" width="29.42578125" style="1163" customWidth="1"/>
    <col min="7665" max="7665" width="10" style="1163" customWidth="1"/>
    <col min="7666" max="7666" width="9.85546875" style="1163" customWidth="1"/>
    <col min="7667" max="7667" width="10.85546875" style="1163" customWidth="1"/>
    <col min="7668" max="7668" width="11" style="1163" customWidth="1"/>
    <col min="7669" max="7669" width="11.140625" style="1163" customWidth="1"/>
    <col min="7670" max="7670" width="11.5703125" style="1163" customWidth="1"/>
    <col min="7671" max="7671" width="10.42578125" style="1163" customWidth="1"/>
    <col min="7672" max="7672" width="9.140625" style="1163"/>
    <col min="7673" max="7674" width="9.28515625" style="1163" customWidth="1"/>
    <col min="7675" max="7675" width="8.5703125" style="1163" customWidth="1"/>
    <col min="7676" max="7676" width="14.5703125" style="1163" customWidth="1"/>
    <col min="7677" max="7918" width="9.140625" style="1163"/>
    <col min="7919" max="7919" width="4" style="1163" customWidth="1"/>
    <col min="7920" max="7920" width="29.42578125" style="1163" customWidth="1"/>
    <col min="7921" max="7921" width="10" style="1163" customWidth="1"/>
    <col min="7922" max="7922" width="9.85546875" style="1163" customWidth="1"/>
    <col min="7923" max="7923" width="10.85546875" style="1163" customWidth="1"/>
    <col min="7924" max="7924" width="11" style="1163" customWidth="1"/>
    <col min="7925" max="7925" width="11.140625" style="1163" customWidth="1"/>
    <col min="7926" max="7926" width="11.5703125" style="1163" customWidth="1"/>
    <col min="7927" max="7927" width="10.42578125" style="1163" customWidth="1"/>
    <col min="7928" max="7928" width="9.140625" style="1163"/>
    <col min="7929" max="7930" width="9.28515625" style="1163" customWidth="1"/>
    <col min="7931" max="7931" width="8.5703125" style="1163" customWidth="1"/>
    <col min="7932" max="7932" width="14.5703125" style="1163" customWidth="1"/>
    <col min="7933" max="8174" width="9.140625" style="1163"/>
    <col min="8175" max="8175" width="4" style="1163" customWidth="1"/>
    <col min="8176" max="8176" width="29.42578125" style="1163" customWidth="1"/>
    <col min="8177" max="8177" width="10" style="1163" customWidth="1"/>
    <col min="8178" max="8178" width="9.85546875" style="1163" customWidth="1"/>
    <col min="8179" max="8179" width="10.85546875" style="1163" customWidth="1"/>
    <col min="8180" max="8180" width="11" style="1163" customWidth="1"/>
    <col min="8181" max="8181" width="11.140625" style="1163" customWidth="1"/>
    <col min="8182" max="8182" width="11.5703125" style="1163" customWidth="1"/>
    <col min="8183" max="8183" width="10.42578125" style="1163" customWidth="1"/>
    <col min="8184" max="8184" width="9.140625" style="1163"/>
    <col min="8185" max="8186" width="9.28515625" style="1163" customWidth="1"/>
    <col min="8187" max="8187" width="8.5703125" style="1163" customWidth="1"/>
    <col min="8188" max="8188" width="14.5703125" style="1163" customWidth="1"/>
    <col min="8189" max="8430" width="9.140625" style="1163"/>
    <col min="8431" max="8431" width="4" style="1163" customWidth="1"/>
    <col min="8432" max="8432" width="29.42578125" style="1163" customWidth="1"/>
    <col min="8433" max="8433" width="10" style="1163" customWidth="1"/>
    <col min="8434" max="8434" width="9.85546875" style="1163" customWidth="1"/>
    <col min="8435" max="8435" width="10.85546875" style="1163" customWidth="1"/>
    <col min="8436" max="8436" width="11" style="1163" customWidth="1"/>
    <col min="8437" max="8437" width="11.140625" style="1163" customWidth="1"/>
    <col min="8438" max="8438" width="11.5703125" style="1163" customWidth="1"/>
    <col min="8439" max="8439" width="10.42578125" style="1163" customWidth="1"/>
    <col min="8440" max="8440" width="9.140625" style="1163"/>
    <col min="8441" max="8442" width="9.28515625" style="1163" customWidth="1"/>
    <col min="8443" max="8443" width="8.5703125" style="1163" customWidth="1"/>
    <col min="8444" max="8444" width="14.5703125" style="1163" customWidth="1"/>
    <col min="8445" max="8686" width="9.140625" style="1163"/>
    <col min="8687" max="8687" width="4" style="1163" customWidth="1"/>
    <col min="8688" max="8688" width="29.42578125" style="1163" customWidth="1"/>
    <col min="8689" max="8689" width="10" style="1163" customWidth="1"/>
    <col min="8690" max="8690" width="9.85546875" style="1163" customWidth="1"/>
    <col min="8691" max="8691" width="10.85546875" style="1163" customWidth="1"/>
    <col min="8692" max="8692" width="11" style="1163" customWidth="1"/>
    <col min="8693" max="8693" width="11.140625" style="1163" customWidth="1"/>
    <col min="8694" max="8694" width="11.5703125" style="1163" customWidth="1"/>
    <col min="8695" max="8695" width="10.42578125" style="1163" customWidth="1"/>
    <col min="8696" max="8696" width="9.140625" style="1163"/>
    <col min="8697" max="8698" width="9.28515625" style="1163" customWidth="1"/>
    <col min="8699" max="8699" width="8.5703125" style="1163" customWidth="1"/>
    <col min="8700" max="8700" width="14.5703125" style="1163" customWidth="1"/>
    <col min="8701" max="8942" width="9.140625" style="1163"/>
    <col min="8943" max="8943" width="4" style="1163" customWidth="1"/>
    <col min="8944" max="8944" width="29.42578125" style="1163" customWidth="1"/>
    <col min="8945" max="8945" width="10" style="1163" customWidth="1"/>
    <col min="8946" max="8946" width="9.85546875" style="1163" customWidth="1"/>
    <col min="8947" max="8947" width="10.85546875" style="1163" customWidth="1"/>
    <col min="8948" max="8948" width="11" style="1163" customWidth="1"/>
    <col min="8949" max="8949" width="11.140625" style="1163" customWidth="1"/>
    <col min="8950" max="8950" width="11.5703125" style="1163" customWidth="1"/>
    <col min="8951" max="8951" width="10.42578125" style="1163" customWidth="1"/>
    <col min="8952" max="8952" width="9.140625" style="1163"/>
    <col min="8953" max="8954" width="9.28515625" style="1163" customWidth="1"/>
    <col min="8955" max="8955" width="8.5703125" style="1163" customWidth="1"/>
    <col min="8956" max="8956" width="14.5703125" style="1163" customWidth="1"/>
    <col min="8957" max="9198" width="9.140625" style="1163"/>
    <col min="9199" max="9199" width="4" style="1163" customWidth="1"/>
    <col min="9200" max="9200" width="29.42578125" style="1163" customWidth="1"/>
    <col min="9201" max="9201" width="10" style="1163" customWidth="1"/>
    <col min="9202" max="9202" width="9.85546875" style="1163" customWidth="1"/>
    <col min="9203" max="9203" width="10.85546875" style="1163" customWidth="1"/>
    <col min="9204" max="9204" width="11" style="1163" customWidth="1"/>
    <col min="9205" max="9205" width="11.140625" style="1163" customWidth="1"/>
    <col min="9206" max="9206" width="11.5703125" style="1163" customWidth="1"/>
    <col min="9207" max="9207" width="10.42578125" style="1163" customWidth="1"/>
    <col min="9208" max="9208" width="9.140625" style="1163"/>
    <col min="9209" max="9210" width="9.28515625" style="1163" customWidth="1"/>
    <col min="9211" max="9211" width="8.5703125" style="1163" customWidth="1"/>
    <col min="9212" max="9212" width="14.5703125" style="1163" customWidth="1"/>
    <col min="9213" max="9454" width="9.140625" style="1163"/>
    <col min="9455" max="9455" width="4" style="1163" customWidth="1"/>
    <col min="9456" max="9456" width="29.42578125" style="1163" customWidth="1"/>
    <col min="9457" max="9457" width="10" style="1163" customWidth="1"/>
    <col min="9458" max="9458" width="9.85546875" style="1163" customWidth="1"/>
    <col min="9459" max="9459" width="10.85546875" style="1163" customWidth="1"/>
    <col min="9460" max="9460" width="11" style="1163" customWidth="1"/>
    <col min="9461" max="9461" width="11.140625" style="1163" customWidth="1"/>
    <col min="9462" max="9462" width="11.5703125" style="1163" customWidth="1"/>
    <col min="9463" max="9463" width="10.42578125" style="1163" customWidth="1"/>
    <col min="9464" max="9464" width="9.140625" style="1163"/>
    <col min="9465" max="9466" width="9.28515625" style="1163" customWidth="1"/>
    <col min="9467" max="9467" width="8.5703125" style="1163" customWidth="1"/>
    <col min="9468" max="9468" width="14.5703125" style="1163" customWidth="1"/>
    <col min="9469" max="9710" width="9.140625" style="1163"/>
    <col min="9711" max="9711" width="4" style="1163" customWidth="1"/>
    <col min="9712" max="9712" width="29.42578125" style="1163" customWidth="1"/>
    <col min="9713" max="9713" width="10" style="1163" customWidth="1"/>
    <col min="9714" max="9714" width="9.85546875" style="1163" customWidth="1"/>
    <col min="9715" max="9715" width="10.85546875" style="1163" customWidth="1"/>
    <col min="9716" max="9716" width="11" style="1163" customWidth="1"/>
    <col min="9717" max="9717" width="11.140625" style="1163" customWidth="1"/>
    <col min="9718" max="9718" width="11.5703125" style="1163" customWidth="1"/>
    <col min="9719" max="9719" width="10.42578125" style="1163" customWidth="1"/>
    <col min="9720" max="9720" width="9.140625" style="1163"/>
    <col min="9721" max="9722" width="9.28515625" style="1163" customWidth="1"/>
    <col min="9723" max="9723" width="8.5703125" style="1163" customWidth="1"/>
    <col min="9724" max="9724" width="14.5703125" style="1163" customWidth="1"/>
    <col min="9725" max="9966" width="9.140625" style="1163"/>
    <col min="9967" max="9967" width="4" style="1163" customWidth="1"/>
    <col min="9968" max="9968" width="29.42578125" style="1163" customWidth="1"/>
    <col min="9969" max="9969" width="10" style="1163" customWidth="1"/>
    <col min="9970" max="9970" width="9.85546875" style="1163" customWidth="1"/>
    <col min="9971" max="9971" width="10.85546875" style="1163" customWidth="1"/>
    <col min="9972" max="9972" width="11" style="1163" customWidth="1"/>
    <col min="9973" max="9973" width="11.140625" style="1163" customWidth="1"/>
    <col min="9974" max="9974" width="11.5703125" style="1163" customWidth="1"/>
    <col min="9975" max="9975" width="10.42578125" style="1163" customWidth="1"/>
    <col min="9976" max="9976" width="9.140625" style="1163"/>
    <col min="9977" max="9978" width="9.28515625" style="1163" customWidth="1"/>
    <col min="9979" max="9979" width="8.5703125" style="1163" customWidth="1"/>
    <col min="9980" max="9980" width="14.5703125" style="1163" customWidth="1"/>
    <col min="9981" max="10222" width="9.140625" style="1163"/>
    <col min="10223" max="10223" width="4" style="1163" customWidth="1"/>
    <col min="10224" max="10224" width="29.42578125" style="1163" customWidth="1"/>
    <col min="10225" max="10225" width="10" style="1163" customWidth="1"/>
    <col min="10226" max="10226" width="9.85546875" style="1163" customWidth="1"/>
    <col min="10227" max="10227" width="10.85546875" style="1163" customWidth="1"/>
    <col min="10228" max="10228" width="11" style="1163" customWidth="1"/>
    <col min="10229" max="10229" width="11.140625" style="1163" customWidth="1"/>
    <col min="10230" max="10230" width="11.5703125" style="1163" customWidth="1"/>
    <col min="10231" max="10231" width="10.42578125" style="1163" customWidth="1"/>
    <col min="10232" max="10232" width="9.140625" style="1163"/>
    <col min="10233" max="10234" width="9.28515625" style="1163" customWidth="1"/>
    <col min="10235" max="10235" width="8.5703125" style="1163" customWidth="1"/>
    <col min="10236" max="10236" width="14.5703125" style="1163" customWidth="1"/>
    <col min="10237" max="10478" width="9.140625" style="1163"/>
    <col min="10479" max="10479" width="4" style="1163" customWidth="1"/>
    <col min="10480" max="10480" width="29.42578125" style="1163" customWidth="1"/>
    <col min="10481" max="10481" width="10" style="1163" customWidth="1"/>
    <col min="10482" max="10482" width="9.85546875" style="1163" customWidth="1"/>
    <col min="10483" max="10483" width="10.85546875" style="1163" customWidth="1"/>
    <col min="10484" max="10484" width="11" style="1163" customWidth="1"/>
    <col min="10485" max="10485" width="11.140625" style="1163" customWidth="1"/>
    <col min="10486" max="10486" width="11.5703125" style="1163" customWidth="1"/>
    <col min="10487" max="10487" width="10.42578125" style="1163" customWidth="1"/>
    <col min="10488" max="10488" width="9.140625" style="1163"/>
    <col min="10489" max="10490" width="9.28515625" style="1163" customWidth="1"/>
    <col min="10491" max="10491" width="8.5703125" style="1163" customWidth="1"/>
    <col min="10492" max="10492" width="14.5703125" style="1163" customWidth="1"/>
    <col min="10493" max="10734" width="9.140625" style="1163"/>
    <col min="10735" max="10735" width="4" style="1163" customWidth="1"/>
    <col min="10736" max="10736" width="29.42578125" style="1163" customWidth="1"/>
    <col min="10737" max="10737" width="10" style="1163" customWidth="1"/>
    <col min="10738" max="10738" width="9.85546875" style="1163" customWidth="1"/>
    <col min="10739" max="10739" width="10.85546875" style="1163" customWidth="1"/>
    <col min="10740" max="10740" width="11" style="1163" customWidth="1"/>
    <col min="10741" max="10741" width="11.140625" style="1163" customWidth="1"/>
    <col min="10742" max="10742" width="11.5703125" style="1163" customWidth="1"/>
    <col min="10743" max="10743" width="10.42578125" style="1163" customWidth="1"/>
    <col min="10744" max="10744" width="9.140625" style="1163"/>
    <col min="10745" max="10746" width="9.28515625" style="1163" customWidth="1"/>
    <col min="10747" max="10747" width="8.5703125" style="1163" customWidth="1"/>
    <col min="10748" max="10748" width="14.5703125" style="1163" customWidth="1"/>
    <col min="10749" max="10990" width="9.140625" style="1163"/>
    <col min="10991" max="10991" width="4" style="1163" customWidth="1"/>
    <col min="10992" max="10992" width="29.42578125" style="1163" customWidth="1"/>
    <col min="10993" max="10993" width="10" style="1163" customWidth="1"/>
    <col min="10994" max="10994" width="9.85546875" style="1163" customWidth="1"/>
    <col min="10995" max="10995" width="10.85546875" style="1163" customWidth="1"/>
    <col min="10996" max="10996" width="11" style="1163" customWidth="1"/>
    <col min="10997" max="10997" width="11.140625" style="1163" customWidth="1"/>
    <col min="10998" max="10998" width="11.5703125" style="1163" customWidth="1"/>
    <col min="10999" max="10999" width="10.42578125" style="1163" customWidth="1"/>
    <col min="11000" max="11000" width="9.140625" style="1163"/>
    <col min="11001" max="11002" width="9.28515625" style="1163" customWidth="1"/>
    <col min="11003" max="11003" width="8.5703125" style="1163" customWidth="1"/>
    <col min="11004" max="11004" width="14.5703125" style="1163" customWidth="1"/>
    <col min="11005" max="11246" width="9.140625" style="1163"/>
    <col min="11247" max="11247" width="4" style="1163" customWidth="1"/>
    <col min="11248" max="11248" width="29.42578125" style="1163" customWidth="1"/>
    <col min="11249" max="11249" width="10" style="1163" customWidth="1"/>
    <col min="11250" max="11250" width="9.85546875" style="1163" customWidth="1"/>
    <col min="11251" max="11251" width="10.85546875" style="1163" customWidth="1"/>
    <col min="11252" max="11252" width="11" style="1163" customWidth="1"/>
    <col min="11253" max="11253" width="11.140625" style="1163" customWidth="1"/>
    <col min="11254" max="11254" width="11.5703125" style="1163" customWidth="1"/>
    <col min="11255" max="11255" width="10.42578125" style="1163" customWidth="1"/>
    <col min="11256" max="11256" width="9.140625" style="1163"/>
    <col min="11257" max="11258" width="9.28515625" style="1163" customWidth="1"/>
    <col min="11259" max="11259" width="8.5703125" style="1163" customWidth="1"/>
    <col min="11260" max="11260" width="14.5703125" style="1163" customWidth="1"/>
    <col min="11261" max="11502" width="9.140625" style="1163"/>
    <col min="11503" max="11503" width="4" style="1163" customWidth="1"/>
    <col min="11504" max="11504" width="29.42578125" style="1163" customWidth="1"/>
    <col min="11505" max="11505" width="10" style="1163" customWidth="1"/>
    <col min="11506" max="11506" width="9.85546875" style="1163" customWidth="1"/>
    <col min="11507" max="11507" width="10.85546875" style="1163" customWidth="1"/>
    <col min="11508" max="11508" width="11" style="1163" customWidth="1"/>
    <col min="11509" max="11509" width="11.140625" style="1163" customWidth="1"/>
    <col min="11510" max="11510" width="11.5703125" style="1163" customWidth="1"/>
    <col min="11511" max="11511" width="10.42578125" style="1163" customWidth="1"/>
    <col min="11512" max="11512" width="9.140625" style="1163"/>
    <col min="11513" max="11514" width="9.28515625" style="1163" customWidth="1"/>
    <col min="11515" max="11515" width="8.5703125" style="1163" customWidth="1"/>
    <col min="11516" max="11516" width="14.5703125" style="1163" customWidth="1"/>
    <col min="11517" max="11758" width="9.140625" style="1163"/>
    <col min="11759" max="11759" width="4" style="1163" customWidth="1"/>
    <col min="11760" max="11760" width="29.42578125" style="1163" customWidth="1"/>
    <col min="11761" max="11761" width="10" style="1163" customWidth="1"/>
    <col min="11762" max="11762" width="9.85546875" style="1163" customWidth="1"/>
    <col min="11763" max="11763" width="10.85546875" style="1163" customWidth="1"/>
    <col min="11764" max="11764" width="11" style="1163" customWidth="1"/>
    <col min="11765" max="11765" width="11.140625" style="1163" customWidth="1"/>
    <col min="11766" max="11766" width="11.5703125" style="1163" customWidth="1"/>
    <col min="11767" max="11767" width="10.42578125" style="1163" customWidth="1"/>
    <col min="11768" max="11768" width="9.140625" style="1163"/>
    <col min="11769" max="11770" width="9.28515625" style="1163" customWidth="1"/>
    <col min="11771" max="11771" width="8.5703125" style="1163" customWidth="1"/>
    <col min="11772" max="11772" width="14.5703125" style="1163" customWidth="1"/>
    <col min="11773" max="12014" width="9.140625" style="1163"/>
    <col min="12015" max="12015" width="4" style="1163" customWidth="1"/>
    <col min="12016" max="12016" width="29.42578125" style="1163" customWidth="1"/>
    <col min="12017" max="12017" width="10" style="1163" customWidth="1"/>
    <col min="12018" max="12018" width="9.85546875" style="1163" customWidth="1"/>
    <col min="12019" max="12019" width="10.85546875" style="1163" customWidth="1"/>
    <col min="12020" max="12020" width="11" style="1163" customWidth="1"/>
    <col min="12021" max="12021" width="11.140625" style="1163" customWidth="1"/>
    <col min="12022" max="12022" width="11.5703125" style="1163" customWidth="1"/>
    <col min="12023" max="12023" width="10.42578125" style="1163" customWidth="1"/>
    <col min="12024" max="12024" width="9.140625" style="1163"/>
    <col min="12025" max="12026" width="9.28515625" style="1163" customWidth="1"/>
    <col min="12027" max="12027" width="8.5703125" style="1163" customWidth="1"/>
    <col min="12028" max="12028" width="14.5703125" style="1163" customWidth="1"/>
    <col min="12029" max="12270" width="9.140625" style="1163"/>
    <col min="12271" max="12271" width="4" style="1163" customWidth="1"/>
    <col min="12272" max="12272" width="29.42578125" style="1163" customWidth="1"/>
    <col min="12273" max="12273" width="10" style="1163" customWidth="1"/>
    <col min="12274" max="12274" width="9.85546875" style="1163" customWidth="1"/>
    <col min="12275" max="12275" width="10.85546875" style="1163" customWidth="1"/>
    <col min="12276" max="12276" width="11" style="1163" customWidth="1"/>
    <col min="12277" max="12277" width="11.140625" style="1163" customWidth="1"/>
    <col min="12278" max="12278" width="11.5703125" style="1163" customWidth="1"/>
    <col min="12279" max="12279" width="10.42578125" style="1163" customWidth="1"/>
    <col min="12280" max="12280" width="9.140625" style="1163"/>
    <col min="12281" max="12282" width="9.28515625" style="1163" customWidth="1"/>
    <col min="12283" max="12283" width="8.5703125" style="1163" customWidth="1"/>
    <col min="12284" max="12284" width="14.5703125" style="1163" customWidth="1"/>
    <col min="12285" max="12526" width="9.140625" style="1163"/>
    <col min="12527" max="12527" width="4" style="1163" customWidth="1"/>
    <col min="12528" max="12528" width="29.42578125" style="1163" customWidth="1"/>
    <col min="12529" max="12529" width="10" style="1163" customWidth="1"/>
    <col min="12530" max="12530" width="9.85546875" style="1163" customWidth="1"/>
    <col min="12531" max="12531" width="10.85546875" style="1163" customWidth="1"/>
    <col min="12532" max="12532" width="11" style="1163" customWidth="1"/>
    <col min="12533" max="12533" width="11.140625" style="1163" customWidth="1"/>
    <col min="12534" max="12534" width="11.5703125" style="1163" customWidth="1"/>
    <col min="12535" max="12535" width="10.42578125" style="1163" customWidth="1"/>
    <col min="12536" max="12536" width="9.140625" style="1163"/>
    <col min="12537" max="12538" width="9.28515625" style="1163" customWidth="1"/>
    <col min="12539" max="12539" width="8.5703125" style="1163" customWidth="1"/>
    <col min="12540" max="12540" width="14.5703125" style="1163" customWidth="1"/>
    <col min="12541" max="12782" width="9.140625" style="1163"/>
    <col min="12783" max="12783" width="4" style="1163" customWidth="1"/>
    <col min="12784" max="12784" width="29.42578125" style="1163" customWidth="1"/>
    <col min="12785" max="12785" width="10" style="1163" customWidth="1"/>
    <col min="12786" max="12786" width="9.85546875" style="1163" customWidth="1"/>
    <col min="12787" max="12787" width="10.85546875" style="1163" customWidth="1"/>
    <col min="12788" max="12788" width="11" style="1163" customWidth="1"/>
    <col min="12789" max="12789" width="11.140625" style="1163" customWidth="1"/>
    <col min="12790" max="12790" width="11.5703125" style="1163" customWidth="1"/>
    <col min="12791" max="12791" width="10.42578125" style="1163" customWidth="1"/>
    <col min="12792" max="12792" width="9.140625" style="1163"/>
    <col min="12793" max="12794" width="9.28515625" style="1163" customWidth="1"/>
    <col min="12795" max="12795" width="8.5703125" style="1163" customWidth="1"/>
    <col min="12796" max="12796" width="14.5703125" style="1163" customWidth="1"/>
    <col min="12797" max="13038" width="9.140625" style="1163"/>
    <col min="13039" max="13039" width="4" style="1163" customWidth="1"/>
    <col min="13040" max="13040" width="29.42578125" style="1163" customWidth="1"/>
    <col min="13041" max="13041" width="10" style="1163" customWidth="1"/>
    <col min="13042" max="13042" width="9.85546875" style="1163" customWidth="1"/>
    <col min="13043" max="13043" width="10.85546875" style="1163" customWidth="1"/>
    <col min="13044" max="13044" width="11" style="1163" customWidth="1"/>
    <col min="13045" max="13045" width="11.140625" style="1163" customWidth="1"/>
    <col min="13046" max="13046" width="11.5703125" style="1163" customWidth="1"/>
    <col min="13047" max="13047" width="10.42578125" style="1163" customWidth="1"/>
    <col min="13048" max="13048" width="9.140625" style="1163"/>
    <col min="13049" max="13050" width="9.28515625" style="1163" customWidth="1"/>
    <col min="13051" max="13051" width="8.5703125" style="1163" customWidth="1"/>
    <col min="13052" max="13052" width="14.5703125" style="1163" customWidth="1"/>
    <col min="13053" max="13294" width="9.140625" style="1163"/>
    <col min="13295" max="13295" width="4" style="1163" customWidth="1"/>
    <col min="13296" max="13296" width="29.42578125" style="1163" customWidth="1"/>
    <col min="13297" max="13297" width="10" style="1163" customWidth="1"/>
    <col min="13298" max="13298" width="9.85546875" style="1163" customWidth="1"/>
    <col min="13299" max="13299" width="10.85546875" style="1163" customWidth="1"/>
    <col min="13300" max="13300" width="11" style="1163" customWidth="1"/>
    <col min="13301" max="13301" width="11.140625" style="1163" customWidth="1"/>
    <col min="13302" max="13302" width="11.5703125" style="1163" customWidth="1"/>
    <col min="13303" max="13303" width="10.42578125" style="1163" customWidth="1"/>
    <col min="13304" max="13304" width="9.140625" style="1163"/>
    <col min="13305" max="13306" width="9.28515625" style="1163" customWidth="1"/>
    <col min="13307" max="13307" width="8.5703125" style="1163" customWidth="1"/>
    <col min="13308" max="13308" width="14.5703125" style="1163" customWidth="1"/>
    <col min="13309" max="13550" width="9.140625" style="1163"/>
    <col min="13551" max="13551" width="4" style="1163" customWidth="1"/>
    <col min="13552" max="13552" width="29.42578125" style="1163" customWidth="1"/>
    <col min="13553" max="13553" width="10" style="1163" customWidth="1"/>
    <col min="13554" max="13554" width="9.85546875" style="1163" customWidth="1"/>
    <col min="13555" max="13555" width="10.85546875" style="1163" customWidth="1"/>
    <col min="13556" max="13556" width="11" style="1163" customWidth="1"/>
    <col min="13557" max="13557" width="11.140625" style="1163" customWidth="1"/>
    <col min="13558" max="13558" width="11.5703125" style="1163" customWidth="1"/>
    <col min="13559" max="13559" width="10.42578125" style="1163" customWidth="1"/>
    <col min="13560" max="13560" width="9.140625" style="1163"/>
    <col min="13561" max="13562" width="9.28515625" style="1163" customWidth="1"/>
    <col min="13563" max="13563" width="8.5703125" style="1163" customWidth="1"/>
    <col min="13564" max="13564" width="14.5703125" style="1163" customWidth="1"/>
    <col min="13565" max="13806" width="9.140625" style="1163"/>
    <col min="13807" max="13807" width="4" style="1163" customWidth="1"/>
    <col min="13808" max="13808" width="29.42578125" style="1163" customWidth="1"/>
    <col min="13809" max="13809" width="10" style="1163" customWidth="1"/>
    <col min="13810" max="13810" width="9.85546875" style="1163" customWidth="1"/>
    <col min="13811" max="13811" width="10.85546875" style="1163" customWidth="1"/>
    <col min="13812" max="13812" width="11" style="1163" customWidth="1"/>
    <col min="13813" max="13813" width="11.140625" style="1163" customWidth="1"/>
    <col min="13814" max="13814" width="11.5703125" style="1163" customWidth="1"/>
    <col min="13815" max="13815" width="10.42578125" style="1163" customWidth="1"/>
    <col min="13816" max="13816" width="9.140625" style="1163"/>
    <col min="13817" max="13818" width="9.28515625" style="1163" customWidth="1"/>
    <col min="13819" max="13819" width="8.5703125" style="1163" customWidth="1"/>
    <col min="13820" max="13820" width="14.5703125" style="1163" customWidth="1"/>
    <col min="13821" max="14062" width="9.140625" style="1163"/>
    <col min="14063" max="14063" width="4" style="1163" customWidth="1"/>
    <col min="14064" max="14064" width="29.42578125" style="1163" customWidth="1"/>
    <col min="14065" max="14065" width="10" style="1163" customWidth="1"/>
    <col min="14066" max="14066" width="9.85546875" style="1163" customWidth="1"/>
    <col min="14067" max="14067" width="10.85546875" style="1163" customWidth="1"/>
    <col min="14068" max="14068" width="11" style="1163" customWidth="1"/>
    <col min="14069" max="14069" width="11.140625" style="1163" customWidth="1"/>
    <col min="14070" max="14070" width="11.5703125" style="1163" customWidth="1"/>
    <col min="14071" max="14071" width="10.42578125" style="1163" customWidth="1"/>
    <col min="14072" max="14072" width="9.140625" style="1163"/>
    <col min="14073" max="14074" width="9.28515625" style="1163" customWidth="1"/>
    <col min="14075" max="14075" width="8.5703125" style="1163" customWidth="1"/>
    <col min="14076" max="14076" width="14.5703125" style="1163" customWidth="1"/>
    <col min="14077" max="14318" width="9.140625" style="1163"/>
    <col min="14319" max="14319" width="4" style="1163" customWidth="1"/>
    <col min="14320" max="14320" width="29.42578125" style="1163" customWidth="1"/>
    <col min="14321" max="14321" width="10" style="1163" customWidth="1"/>
    <col min="14322" max="14322" width="9.85546875" style="1163" customWidth="1"/>
    <col min="14323" max="14323" width="10.85546875" style="1163" customWidth="1"/>
    <col min="14324" max="14324" width="11" style="1163" customWidth="1"/>
    <col min="14325" max="14325" width="11.140625" style="1163" customWidth="1"/>
    <col min="14326" max="14326" width="11.5703125" style="1163" customWidth="1"/>
    <col min="14327" max="14327" width="10.42578125" style="1163" customWidth="1"/>
    <col min="14328" max="14328" width="9.140625" style="1163"/>
    <col min="14329" max="14330" width="9.28515625" style="1163" customWidth="1"/>
    <col min="14331" max="14331" width="8.5703125" style="1163" customWidth="1"/>
    <col min="14332" max="14332" width="14.5703125" style="1163" customWidth="1"/>
    <col min="14333" max="14574" width="9.140625" style="1163"/>
    <col min="14575" max="14575" width="4" style="1163" customWidth="1"/>
    <col min="14576" max="14576" width="29.42578125" style="1163" customWidth="1"/>
    <col min="14577" max="14577" width="10" style="1163" customWidth="1"/>
    <col min="14578" max="14578" width="9.85546875" style="1163" customWidth="1"/>
    <col min="14579" max="14579" width="10.85546875" style="1163" customWidth="1"/>
    <col min="14580" max="14580" width="11" style="1163" customWidth="1"/>
    <col min="14581" max="14581" width="11.140625" style="1163" customWidth="1"/>
    <col min="14582" max="14582" width="11.5703125" style="1163" customWidth="1"/>
    <col min="14583" max="14583" width="10.42578125" style="1163" customWidth="1"/>
    <col min="14584" max="14584" width="9.140625" style="1163"/>
    <col min="14585" max="14586" width="9.28515625" style="1163" customWidth="1"/>
    <col min="14587" max="14587" width="8.5703125" style="1163" customWidth="1"/>
    <col min="14588" max="14588" width="14.5703125" style="1163" customWidth="1"/>
    <col min="14589" max="14830" width="9.140625" style="1163"/>
    <col min="14831" max="14831" width="4" style="1163" customWidth="1"/>
    <col min="14832" max="14832" width="29.42578125" style="1163" customWidth="1"/>
    <col min="14833" max="14833" width="10" style="1163" customWidth="1"/>
    <col min="14834" max="14834" width="9.85546875" style="1163" customWidth="1"/>
    <col min="14835" max="14835" width="10.85546875" style="1163" customWidth="1"/>
    <col min="14836" max="14836" width="11" style="1163" customWidth="1"/>
    <col min="14837" max="14837" width="11.140625" style="1163" customWidth="1"/>
    <col min="14838" max="14838" width="11.5703125" style="1163" customWidth="1"/>
    <col min="14839" max="14839" width="10.42578125" style="1163" customWidth="1"/>
    <col min="14840" max="14840" width="9.140625" style="1163"/>
    <col min="14841" max="14842" width="9.28515625" style="1163" customWidth="1"/>
    <col min="14843" max="14843" width="8.5703125" style="1163" customWidth="1"/>
    <col min="14844" max="14844" width="14.5703125" style="1163" customWidth="1"/>
    <col min="14845" max="15086" width="9.140625" style="1163"/>
    <col min="15087" max="15087" width="4" style="1163" customWidth="1"/>
    <col min="15088" max="15088" width="29.42578125" style="1163" customWidth="1"/>
    <col min="15089" max="15089" width="10" style="1163" customWidth="1"/>
    <col min="15090" max="15090" width="9.85546875" style="1163" customWidth="1"/>
    <col min="15091" max="15091" width="10.85546875" style="1163" customWidth="1"/>
    <col min="15092" max="15092" width="11" style="1163" customWidth="1"/>
    <col min="15093" max="15093" width="11.140625" style="1163" customWidth="1"/>
    <col min="15094" max="15094" width="11.5703125" style="1163" customWidth="1"/>
    <col min="15095" max="15095" width="10.42578125" style="1163" customWidth="1"/>
    <col min="15096" max="15096" width="9.140625" style="1163"/>
    <col min="15097" max="15098" width="9.28515625" style="1163" customWidth="1"/>
    <col min="15099" max="15099" width="8.5703125" style="1163" customWidth="1"/>
    <col min="15100" max="15100" width="14.5703125" style="1163" customWidth="1"/>
    <col min="15101" max="15342" width="9.140625" style="1163"/>
    <col min="15343" max="15343" width="4" style="1163" customWidth="1"/>
    <col min="15344" max="15344" width="29.42578125" style="1163" customWidth="1"/>
    <col min="15345" max="15345" width="10" style="1163" customWidth="1"/>
    <col min="15346" max="15346" width="9.85546875" style="1163" customWidth="1"/>
    <col min="15347" max="15347" width="10.85546875" style="1163" customWidth="1"/>
    <col min="15348" max="15348" width="11" style="1163" customWidth="1"/>
    <col min="15349" max="15349" width="11.140625" style="1163" customWidth="1"/>
    <col min="15350" max="15350" width="11.5703125" style="1163" customWidth="1"/>
    <col min="15351" max="15351" width="10.42578125" style="1163" customWidth="1"/>
    <col min="15352" max="15352" width="9.140625" style="1163"/>
    <col min="15353" max="15354" width="9.28515625" style="1163" customWidth="1"/>
    <col min="15355" max="15355" width="8.5703125" style="1163" customWidth="1"/>
    <col min="15356" max="15356" width="14.5703125" style="1163" customWidth="1"/>
    <col min="15357" max="15598" width="9.140625" style="1163"/>
    <col min="15599" max="15599" width="4" style="1163" customWidth="1"/>
    <col min="15600" max="15600" width="29.42578125" style="1163" customWidth="1"/>
    <col min="15601" max="15601" width="10" style="1163" customWidth="1"/>
    <col min="15602" max="15602" width="9.85546875" style="1163" customWidth="1"/>
    <col min="15603" max="15603" width="10.85546875" style="1163" customWidth="1"/>
    <col min="15604" max="15604" width="11" style="1163" customWidth="1"/>
    <col min="15605" max="15605" width="11.140625" style="1163" customWidth="1"/>
    <col min="15606" max="15606" width="11.5703125" style="1163" customWidth="1"/>
    <col min="15607" max="15607" width="10.42578125" style="1163" customWidth="1"/>
    <col min="15608" max="15608" width="9.140625" style="1163"/>
    <col min="15609" max="15610" width="9.28515625" style="1163" customWidth="1"/>
    <col min="15611" max="15611" width="8.5703125" style="1163" customWidth="1"/>
    <col min="15612" max="15612" width="14.5703125" style="1163" customWidth="1"/>
    <col min="15613" max="15854" width="9.140625" style="1163"/>
    <col min="15855" max="15855" width="4" style="1163" customWidth="1"/>
    <col min="15856" max="15856" width="29.42578125" style="1163" customWidth="1"/>
    <col min="15857" max="15857" width="10" style="1163" customWidth="1"/>
    <col min="15858" max="15858" width="9.85546875" style="1163" customWidth="1"/>
    <col min="15859" max="15859" width="10.85546875" style="1163" customWidth="1"/>
    <col min="15860" max="15860" width="11" style="1163" customWidth="1"/>
    <col min="15861" max="15861" width="11.140625" style="1163" customWidth="1"/>
    <col min="15862" max="15862" width="11.5703125" style="1163" customWidth="1"/>
    <col min="15863" max="15863" width="10.42578125" style="1163" customWidth="1"/>
    <col min="15864" max="15864" width="9.140625" style="1163"/>
    <col min="15865" max="15866" width="9.28515625" style="1163" customWidth="1"/>
    <col min="15867" max="15867" width="8.5703125" style="1163" customWidth="1"/>
    <col min="15868" max="15868" width="14.5703125" style="1163" customWidth="1"/>
    <col min="15869" max="16110" width="9.140625" style="1163"/>
    <col min="16111" max="16111" width="4" style="1163" customWidth="1"/>
    <col min="16112" max="16112" width="29.42578125" style="1163" customWidth="1"/>
    <col min="16113" max="16113" width="10" style="1163" customWidth="1"/>
    <col min="16114" max="16114" width="9.85546875" style="1163" customWidth="1"/>
    <col min="16115" max="16115" width="10.85546875" style="1163" customWidth="1"/>
    <col min="16116" max="16116" width="11" style="1163" customWidth="1"/>
    <col min="16117" max="16117" width="11.140625" style="1163" customWidth="1"/>
    <col min="16118" max="16118" width="11.5703125" style="1163" customWidth="1"/>
    <col min="16119" max="16119" width="10.42578125" style="1163" customWidth="1"/>
    <col min="16120" max="16120" width="9.140625" style="1163"/>
    <col min="16121" max="16122" width="9.28515625" style="1163" customWidth="1"/>
    <col min="16123" max="16123" width="8.5703125" style="1163" customWidth="1"/>
    <col min="16124" max="16124" width="14.5703125" style="1163" customWidth="1"/>
    <col min="16125" max="16384" width="9.140625" style="1163"/>
  </cols>
  <sheetData>
    <row r="1" spans="1:19" x14ac:dyDescent="0.25">
      <c r="A1" s="3108"/>
      <c r="B1" s="3108"/>
      <c r="E1" s="1162"/>
      <c r="I1" s="1162"/>
      <c r="J1" s="1164" t="s">
        <v>926</v>
      </c>
      <c r="K1" s="1164"/>
      <c r="L1" s="1164"/>
    </row>
    <row r="2" spans="1:19" x14ac:dyDescent="0.25">
      <c r="A2" s="3109" t="s">
        <v>927</v>
      </c>
      <c r="B2" s="3109"/>
      <c r="C2" s="3109"/>
      <c r="D2" s="3109"/>
      <c r="E2" s="3109"/>
      <c r="F2" s="3109"/>
      <c r="G2" s="3109"/>
      <c r="H2" s="3109"/>
      <c r="I2" s="3109"/>
      <c r="J2" s="3109"/>
      <c r="K2" s="3109"/>
      <c r="L2" s="1166"/>
    </row>
    <row r="3" spans="1:19" x14ac:dyDescent="0.25">
      <c r="B3" s="1168"/>
      <c r="C3" s="3110" t="s">
        <v>928</v>
      </c>
      <c r="D3" s="3110"/>
      <c r="E3" s="3110"/>
      <c r="F3" s="3110"/>
      <c r="G3" s="3110"/>
      <c r="H3" s="1169" t="s">
        <v>929</v>
      </c>
      <c r="J3" s="1170"/>
      <c r="K3" s="1170"/>
      <c r="N3" s="3111" t="s">
        <v>930</v>
      </c>
      <c r="O3" s="3111"/>
      <c r="P3" s="3111"/>
    </row>
    <row r="4" spans="1:19" x14ac:dyDescent="0.25">
      <c r="A4" s="3103" t="s">
        <v>922</v>
      </c>
      <c r="B4" s="3103" t="s">
        <v>52</v>
      </c>
      <c r="C4" s="3113" t="s">
        <v>931</v>
      </c>
      <c r="D4" s="3115" t="s">
        <v>14</v>
      </c>
      <c r="E4" s="3116"/>
      <c r="F4" s="3116"/>
      <c r="G4" s="3117"/>
      <c r="H4" s="3113" t="s">
        <v>449</v>
      </c>
      <c r="I4" s="3103" t="s">
        <v>450</v>
      </c>
      <c r="J4" s="3103" t="s">
        <v>47</v>
      </c>
      <c r="K4" s="3103"/>
      <c r="L4" s="3103"/>
      <c r="M4" s="3103"/>
      <c r="N4" s="3104" t="s">
        <v>932</v>
      </c>
      <c r="O4" s="3106" t="s">
        <v>933</v>
      </c>
      <c r="P4" s="3107" t="s">
        <v>934</v>
      </c>
    </row>
    <row r="5" spans="1:19" ht="78.75" x14ac:dyDescent="0.25">
      <c r="A5" s="3112"/>
      <c r="B5" s="3112"/>
      <c r="C5" s="3114"/>
      <c r="D5" s="1172" t="s">
        <v>935</v>
      </c>
      <c r="E5" s="1172" t="s">
        <v>451</v>
      </c>
      <c r="F5" s="1172" t="s">
        <v>901</v>
      </c>
      <c r="G5" s="1172" t="s">
        <v>936</v>
      </c>
      <c r="H5" s="3114"/>
      <c r="I5" s="3112"/>
      <c r="J5" s="1173" t="s">
        <v>452</v>
      </c>
      <c r="K5" s="1171" t="s">
        <v>937</v>
      </c>
      <c r="L5" s="1171" t="s">
        <v>938</v>
      </c>
      <c r="M5" s="1174" t="s">
        <v>939</v>
      </c>
      <c r="N5" s="3105"/>
      <c r="O5" s="3106"/>
      <c r="P5" s="3107"/>
    </row>
    <row r="6" spans="1:19" x14ac:dyDescent="0.25">
      <c r="A6" s="1175" t="s">
        <v>3</v>
      </c>
      <c r="B6" s="1175" t="s">
        <v>4</v>
      </c>
      <c r="C6" s="1176" t="s">
        <v>940</v>
      </c>
      <c r="D6" s="1175">
        <v>2</v>
      </c>
      <c r="E6" s="1175">
        <v>3</v>
      </c>
      <c r="F6" s="1175">
        <v>4</v>
      </c>
      <c r="G6" s="1175">
        <v>5</v>
      </c>
      <c r="H6" s="1176">
        <v>6</v>
      </c>
      <c r="I6" s="1175" t="s">
        <v>492</v>
      </c>
      <c r="J6" s="1177">
        <v>8</v>
      </c>
      <c r="K6" s="1178">
        <v>9</v>
      </c>
      <c r="L6" s="1179"/>
      <c r="M6" s="1180">
        <v>10</v>
      </c>
      <c r="N6" s="1181"/>
      <c r="P6" s="1182"/>
      <c r="R6" s="1162"/>
      <c r="S6" s="1162"/>
    </row>
    <row r="7" spans="1:19" s="1185" customFormat="1" x14ac:dyDescent="0.25">
      <c r="A7" s="1183"/>
      <c r="B7" s="1183" t="s">
        <v>511</v>
      </c>
      <c r="C7" s="1184">
        <f t="shared" ref="C7:G7" si="0">SUM(C8:C26)</f>
        <v>106035669224.58</v>
      </c>
      <c r="D7" s="1184">
        <f t="shared" si="0"/>
        <v>0</v>
      </c>
      <c r="E7" s="1184">
        <f t="shared" si="0"/>
        <v>55486748391</v>
      </c>
      <c r="F7" s="1184">
        <f t="shared" si="0"/>
        <v>52019062232.580002</v>
      </c>
      <c r="G7" s="1184">
        <f t="shared" si="0"/>
        <v>1470141399</v>
      </c>
      <c r="H7" s="1184">
        <f>SUM(H8:H26)</f>
        <v>67248431820</v>
      </c>
      <c r="I7" s="1184">
        <f t="shared" ref="I7:P7" si="1">SUM(I8:I26)</f>
        <v>38787237404.580002</v>
      </c>
      <c r="J7" s="1184">
        <f t="shared" si="1"/>
        <v>4627386306</v>
      </c>
      <c r="K7" s="1184">
        <f t="shared" si="1"/>
        <v>1374459011</v>
      </c>
      <c r="L7" s="1184">
        <f t="shared" si="1"/>
        <v>0</v>
      </c>
      <c r="M7" s="1184">
        <f t="shared" si="1"/>
        <v>32756901921</v>
      </c>
      <c r="N7" s="1184">
        <f t="shared" si="1"/>
        <v>0</v>
      </c>
      <c r="O7" s="1184">
        <f t="shared" si="1"/>
        <v>0</v>
      </c>
      <c r="P7" s="1184">
        <f t="shared" si="1"/>
        <v>0</v>
      </c>
    </row>
    <row r="8" spans="1:19" x14ac:dyDescent="0.25">
      <c r="A8" s="1186">
        <v>1</v>
      </c>
      <c r="B8" s="1187" t="s">
        <v>951</v>
      </c>
      <c r="C8" s="1188">
        <f t="shared" ref="C8:C15" si="2">D8+E8+F8-G8</f>
        <v>7307465312</v>
      </c>
      <c r="D8" s="1188"/>
      <c r="E8" s="1188">
        <v>3874841000</v>
      </c>
      <c r="F8" s="1189">
        <v>3605892888</v>
      </c>
      <c r="G8" s="1189">
        <v>173268576</v>
      </c>
      <c r="H8" s="1188">
        <v>7307465312</v>
      </c>
      <c r="I8" s="1189">
        <f>C8-H8</f>
        <v>0</v>
      </c>
      <c r="J8" s="1188"/>
      <c r="K8" s="1190"/>
      <c r="L8" s="1190"/>
      <c r="M8" s="1191">
        <f t="shared" ref="M8:M22" si="3">I8-J8-K8-L8</f>
        <v>0</v>
      </c>
      <c r="N8" s="1192">
        <f t="shared" ref="N8:N22" si="4">I8-J8-K8-M8-L8</f>
        <v>0</v>
      </c>
      <c r="P8" s="1193"/>
    </row>
    <row r="9" spans="1:19" ht="31.5" x14ac:dyDescent="0.25">
      <c r="A9" s="1186">
        <v>2</v>
      </c>
      <c r="B9" s="1187" t="s">
        <v>952</v>
      </c>
      <c r="C9" s="1188">
        <f t="shared" si="2"/>
        <v>2553842882</v>
      </c>
      <c r="D9" s="1188"/>
      <c r="E9" s="1188">
        <v>1735266000</v>
      </c>
      <c r="F9" s="1189">
        <v>856078190</v>
      </c>
      <c r="G9" s="1189">
        <v>37501308</v>
      </c>
      <c r="H9" s="1194">
        <v>2297335012</v>
      </c>
      <c r="I9" s="1189">
        <f>C9-H9</f>
        <v>256507870</v>
      </c>
      <c r="J9" s="1188"/>
      <c r="K9" s="1188"/>
      <c r="L9" s="1195"/>
      <c r="M9" s="1191">
        <f t="shared" si="3"/>
        <v>256507870</v>
      </c>
      <c r="N9" s="1192">
        <f t="shared" si="4"/>
        <v>0</v>
      </c>
      <c r="O9" s="1196"/>
      <c r="P9" s="1193"/>
    </row>
    <row r="10" spans="1:19" ht="31.5" x14ac:dyDescent="0.25">
      <c r="A10" s="1186">
        <v>3</v>
      </c>
      <c r="B10" s="1187" t="s">
        <v>953</v>
      </c>
      <c r="C10" s="1188">
        <f t="shared" si="2"/>
        <v>35950822872</v>
      </c>
      <c r="D10" s="1188"/>
      <c r="E10" s="1188">
        <v>14686487621</v>
      </c>
      <c r="F10" s="1189">
        <v>21688316782</v>
      </c>
      <c r="G10" s="1189">
        <v>423981531</v>
      </c>
      <c r="H10" s="1188"/>
      <c r="I10" s="1189">
        <f>C10-H10</f>
        <v>35950822872</v>
      </c>
      <c r="J10" s="1188"/>
      <c r="K10" s="1197"/>
      <c r="L10" s="1197"/>
      <c r="M10" s="1191">
        <f t="shared" si="3"/>
        <v>35950822872</v>
      </c>
      <c r="N10" s="1192">
        <f t="shared" si="4"/>
        <v>0</v>
      </c>
      <c r="P10" s="1193"/>
    </row>
    <row r="11" spans="1:19" ht="31.5" x14ac:dyDescent="0.25">
      <c r="A11" s="1186">
        <v>5</v>
      </c>
      <c r="B11" s="1187" t="s">
        <v>954</v>
      </c>
      <c r="C11" s="1188">
        <f>D11+E11+F11-G11</f>
        <v>11431524636</v>
      </c>
      <c r="D11" s="1188"/>
      <c r="E11" s="1188">
        <v>4042226000</v>
      </c>
      <c r="F11" s="1189">
        <v>7740458546</v>
      </c>
      <c r="G11" s="1188">
        <v>351159910</v>
      </c>
      <c r="H11" s="1188">
        <v>11596866679</v>
      </c>
      <c r="I11" s="1189">
        <f>C11-H11</f>
        <v>-165342043</v>
      </c>
      <c r="J11" s="1189">
        <v>3564646306</v>
      </c>
      <c r="K11" s="1189"/>
      <c r="L11" s="1190"/>
      <c r="M11" s="1191">
        <f>I11-J11-K11-L11</f>
        <v>-3729988349</v>
      </c>
      <c r="N11" s="1192">
        <f>I11-J11-K11-M11-L11</f>
        <v>0</v>
      </c>
      <c r="P11" s="1193"/>
    </row>
    <row r="12" spans="1:19" x14ac:dyDescent="0.25">
      <c r="A12" s="1186">
        <v>4</v>
      </c>
      <c r="B12" s="1187" t="s">
        <v>941</v>
      </c>
      <c r="C12" s="1188">
        <f t="shared" si="2"/>
        <v>13016352368</v>
      </c>
      <c r="D12" s="1188"/>
      <c r="E12" s="1188">
        <v>4962617000</v>
      </c>
      <c r="F12" s="1189">
        <v>8339525000</v>
      </c>
      <c r="G12" s="1188">
        <v>285789632</v>
      </c>
      <c r="H12" s="1188">
        <v>10569930228</v>
      </c>
      <c r="I12" s="1189">
        <f>+C12-H12</f>
        <v>2446422140</v>
      </c>
      <c r="J12" s="1188">
        <v>1032740000</v>
      </c>
      <c r="K12" s="1188">
        <v>1173682140</v>
      </c>
      <c r="L12" s="1188"/>
      <c r="M12" s="1191">
        <f t="shared" si="3"/>
        <v>240000000</v>
      </c>
      <c r="N12" s="1192">
        <f t="shared" si="4"/>
        <v>0</v>
      </c>
      <c r="P12" s="1193"/>
    </row>
    <row r="13" spans="1:19" x14ac:dyDescent="0.25">
      <c r="B13" s="1163" t="s">
        <v>955</v>
      </c>
    </row>
    <row r="14" spans="1:19" ht="31.5" x14ac:dyDescent="0.25">
      <c r="A14" s="1186">
        <v>6</v>
      </c>
      <c r="B14" s="1187" t="s">
        <v>942</v>
      </c>
      <c r="C14" s="1188">
        <f t="shared" si="2"/>
        <v>1770019433</v>
      </c>
      <c r="D14" s="1188"/>
      <c r="E14" s="1188">
        <v>842303000</v>
      </c>
      <c r="F14" s="1189">
        <v>1112836875</v>
      </c>
      <c r="G14" s="1188">
        <f>59019012+126101430</f>
        <v>185120442</v>
      </c>
      <c r="H14" s="1188">
        <v>1740019433</v>
      </c>
      <c r="I14" s="1189">
        <f t="shared" ref="I14:I25" si="5">C14-H14</f>
        <v>30000000</v>
      </c>
      <c r="J14" s="1189">
        <v>30000000</v>
      </c>
      <c r="K14" s="1189"/>
      <c r="L14" s="1189"/>
      <c r="M14" s="1191">
        <f t="shared" si="3"/>
        <v>0</v>
      </c>
      <c r="N14" s="1192">
        <f t="shared" si="4"/>
        <v>0</v>
      </c>
      <c r="P14" s="1193"/>
    </row>
    <row r="15" spans="1:19" x14ac:dyDescent="0.25">
      <c r="A15" s="1186">
        <v>7</v>
      </c>
      <c r="B15" s="1187" t="s">
        <v>943</v>
      </c>
      <c r="C15" s="1188">
        <f t="shared" si="2"/>
        <v>40000000</v>
      </c>
      <c r="D15" s="1188"/>
      <c r="E15" s="1188">
        <v>35000000</v>
      </c>
      <c r="F15" s="1189">
        <v>5000000</v>
      </c>
      <c r="G15" s="1188"/>
      <c r="H15" s="1188">
        <v>39860472</v>
      </c>
      <c r="I15" s="1189">
        <f t="shared" si="5"/>
        <v>139528</v>
      </c>
      <c r="J15" s="1188"/>
      <c r="K15" s="1189"/>
      <c r="L15" s="1189"/>
      <c r="M15" s="1191">
        <f t="shared" si="3"/>
        <v>139528</v>
      </c>
      <c r="N15" s="1192">
        <f t="shared" si="4"/>
        <v>0</v>
      </c>
      <c r="P15" s="1193"/>
    </row>
    <row r="16" spans="1:19" x14ac:dyDescent="0.25">
      <c r="A16" s="1186"/>
      <c r="B16" s="1187" t="s">
        <v>956</v>
      </c>
      <c r="C16" s="1188"/>
      <c r="D16" s="1188"/>
      <c r="E16" s="1188"/>
      <c r="F16" s="1189"/>
      <c r="G16" s="1188"/>
      <c r="H16" s="1188"/>
      <c r="I16" s="1189"/>
      <c r="J16" s="1188"/>
      <c r="K16" s="1189"/>
      <c r="L16" s="1189"/>
      <c r="M16" s="1191"/>
      <c r="N16" s="1192"/>
      <c r="P16" s="1193"/>
    </row>
    <row r="17" spans="1:16" x14ac:dyDescent="0.25">
      <c r="A17" s="1186"/>
      <c r="B17" s="1187" t="s">
        <v>957</v>
      </c>
      <c r="C17" s="1188"/>
      <c r="D17" s="1188"/>
      <c r="E17" s="1188"/>
      <c r="F17" s="1189"/>
      <c r="G17" s="1188"/>
      <c r="H17" s="1188"/>
      <c r="I17" s="1189"/>
      <c r="J17" s="1188"/>
      <c r="K17" s="1189"/>
      <c r="L17" s="1189"/>
      <c r="M17" s="1191"/>
      <c r="N17" s="1192"/>
      <c r="P17" s="1193"/>
    </row>
    <row r="18" spans="1:16" ht="31.5" x14ac:dyDescent="0.25">
      <c r="A18" s="1186"/>
      <c r="B18" s="1187" t="s">
        <v>958</v>
      </c>
      <c r="C18" s="1188"/>
      <c r="D18" s="1188"/>
      <c r="E18" s="1188"/>
      <c r="F18" s="1189"/>
      <c r="G18" s="1188"/>
      <c r="H18" s="1188"/>
      <c r="I18" s="1189"/>
      <c r="J18" s="1188"/>
      <c r="K18" s="1189"/>
      <c r="L18" s="1189"/>
      <c r="M18" s="1191"/>
      <c r="N18" s="1192"/>
      <c r="P18" s="1193"/>
    </row>
    <row r="19" spans="1:16" x14ac:dyDescent="0.25">
      <c r="A19" s="1186"/>
      <c r="B19" s="1187"/>
      <c r="C19" s="1188"/>
      <c r="D19" s="1188"/>
      <c r="E19" s="1188"/>
      <c r="F19" s="1189"/>
      <c r="G19" s="1188"/>
      <c r="H19" s="1188"/>
      <c r="I19" s="1189"/>
      <c r="J19" s="1188"/>
      <c r="K19" s="1189"/>
      <c r="L19" s="1189"/>
      <c r="M19" s="1191"/>
      <c r="N19" s="1192"/>
      <c r="P19" s="1193"/>
    </row>
    <row r="20" spans="1:16" ht="31.5" x14ac:dyDescent="0.25">
      <c r="A20" s="1186">
        <v>8</v>
      </c>
      <c r="B20" s="1187" t="s">
        <v>944</v>
      </c>
      <c r="C20" s="1188">
        <f>SUM(D20:F20)-G20</f>
        <v>4999742023</v>
      </c>
      <c r="D20" s="1188"/>
      <c r="E20" s="1188">
        <v>3409834634</v>
      </c>
      <c r="F20" s="1189">
        <v>1589907389</v>
      </c>
      <c r="G20" s="1189"/>
      <c r="H20" s="1188">
        <v>4892363783</v>
      </c>
      <c r="I20" s="1189">
        <f t="shared" si="5"/>
        <v>107378240</v>
      </c>
      <c r="J20" s="1188"/>
      <c r="K20" s="1189">
        <v>107378240</v>
      </c>
      <c r="L20" s="1189"/>
      <c r="M20" s="1191">
        <f t="shared" si="3"/>
        <v>0</v>
      </c>
      <c r="N20" s="1192">
        <f t="shared" si="4"/>
        <v>0</v>
      </c>
      <c r="P20" s="1193"/>
    </row>
    <row r="21" spans="1:16" ht="31.5" x14ac:dyDescent="0.25">
      <c r="A21" s="1186">
        <v>9</v>
      </c>
      <c r="B21" s="1187" t="s">
        <v>945</v>
      </c>
      <c r="C21" s="1188">
        <f>D21+E21+F21-G21</f>
        <v>4024404816</v>
      </c>
      <c r="D21" s="1188"/>
      <c r="E21" s="1188">
        <v>3004944000</v>
      </c>
      <c r="F21" s="1189">
        <v>1022020816</v>
      </c>
      <c r="G21" s="1189">
        <v>2560000</v>
      </c>
      <c r="H21" s="1188">
        <f>3988807832-3823016</f>
        <v>3984984816</v>
      </c>
      <c r="I21" s="1189">
        <f t="shared" si="5"/>
        <v>39420000</v>
      </c>
      <c r="J21" s="1188"/>
      <c r="K21" s="1189"/>
      <c r="L21" s="1189"/>
      <c r="M21" s="1191">
        <f t="shared" si="3"/>
        <v>39420000</v>
      </c>
      <c r="N21" s="1192">
        <f t="shared" si="4"/>
        <v>0</v>
      </c>
      <c r="O21" s="1198"/>
      <c r="P21" s="1193"/>
    </row>
    <row r="22" spans="1:16" ht="31.5" x14ac:dyDescent="0.25">
      <c r="A22" s="1186">
        <v>10</v>
      </c>
      <c r="B22" s="1187" t="s">
        <v>946</v>
      </c>
      <c r="C22" s="1188">
        <f t="shared" ref="C22:C24" si="6">D22+E22+F22-G22</f>
        <v>3644503900</v>
      </c>
      <c r="D22" s="1188"/>
      <c r="E22" s="1188">
        <v>2775417463</v>
      </c>
      <c r="F22" s="1189">
        <v>870086437</v>
      </c>
      <c r="G22" s="1189">
        <v>1000000</v>
      </c>
      <c r="H22" s="1188">
        <v>3613493900</v>
      </c>
      <c r="I22" s="1189">
        <f t="shared" si="5"/>
        <v>31010000</v>
      </c>
      <c r="J22" s="1188"/>
      <c r="K22" s="1189">
        <v>31010000</v>
      </c>
      <c r="L22" s="1189"/>
      <c r="M22" s="1191">
        <f t="shared" si="3"/>
        <v>0</v>
      </c>
      <c r="N22" s="1192">
        <f t="shared" si="4"/>
        <v>0</v>
      </c>
      <c r="P22" s="1193"/>
    </row>
    <row r="23" spans="1:16" ht="31.5" x14ac:dyDescent="0.25">
      <c r="A23" s="1186">
        <v>11</v>
      </c>
      <c r="B23" s="1187" t="s">
        <v>947</v>
      </c>
      <c r="C23" s="1188">
        <f t="shared" si="6"/>
        <v>9030709908</v>
      </c>
      <c r="D23" s="1188"/>
      <c r="E23" s="1188">
        <v>6299332908</v>
      </c>
      <c r="F23" s="1189">
        <v>2731377000</v>
      </c>
      <c r="G23" s="1189"/>
      <c r="H23" s="1188">
        <v>8970511277</v>
      </c>
      <c r="I23" s="1189">
        <f t="shared" si="5"/>
        <v>60198631</v>
      </c>
      <c r="J23" s="1188"/>
      <c r="K23" s="1189">
        <v>60198631</v>
      </c>
      <c r="L23" s="1189"/>
      <c r="M23" s="1191"/>
      <c r="N23" s="1192"/>
      <c r="O23" s="1198"/>
      <c r="P23" s="1193"/>
    </row>
    <row r="24" spans="1:16" ht="31.5" x14ac:dyDescent="0.25">
      <c r="A24" s="1186">
        <v>12</v>
      </c>
      <c r="B24" s="1187" t="s">
        <v>948</v>
      </c>
      <c r="C24" s="1188">
        <f t="shared" si="6"/>
        <v>5897252259.5799999</v>
      </c>
      <c r="D24" s="1188"/>
      <c r="E24" s="1188">
        <v>4924922167</v>
      </c>
      <c r="F24" s="1189">
        <f>'[1]Kinh phí từng đơn vị'!$G$37+'[1]Kinh phí từng đơn vị'!$G$69+'[1]Kinh phí từng đơn vị'!$G$104</f>
        <v>977510092.57999992</v>
      </c>
      <c r="G24" s="1189">
        <v>5180000</v>
      </c>
      <c r="H24" s="1189">
        <v>5868762093</v>
      </c>
      <c r="I24" s="1189">
        <f t="shared" si="5"/>
        <v>28490166.579999924</v>
      </c>
      <c r="J24" s="1188"/>
      <c r="K24" s="1189"/>
      <c r="L24" s="1189"/>
      <c r="M24" s="1191"/>
      <c r="N24" s="1192"/>
      <c r="P24" s="1193"/>
    </row>
    <row r="25" spans="1:16" ht="31.5" x14ac:dyDescent="0.25">
      <c r="A25" s="1186">
        <v>13</v>
      </c>
      <c r="B25" s="1187" t="s">
        <v>949</v>
      </c>
      <c r="C25" s="1188">
        <f>D25+E25+F25-G25</f>
        <v>6359028815</v>
      </c>
      <c r="D25" s="1188"/>
      <c r="E25" s="1188">
        <v>4893556598</v>
      </c>
      <c r="F25" s="1189">
        <v>1470052217</v>
      </c>
      <c r="G25" s="1189">
        <v>4580000</v>
      </c>
      <c r="H25" s="1188">
        <v>6356838815</v>
      </c>
      <c r="I25" s="1189">
        <f t="shared" si="5"/>
        <v>2190000</v>
      </c>
      <c r="J25" s="1188"/>
      <c r="K25" s="1189">
        <v>2190000</v>
      </c>
      <c r="L25" s="1189"/>
      <c r="M25" s="1191"/>
      <c r="N25" s="1192"/>
      <c r="O25" s="1198"/>
      <c r="P25" s="1193"/>
    </row>
    <row r="26" spans="1:16" ht="31.5" x14ac:dyDescent="0.25">
      <c r="A26" s="1199">
        <v>14</v>
      </c>
      <c r="B26" s="1200" t="s">
        <v>950</v>
      </c>
      <c r="C26" s="1201">
        <f>D26+E26+F26-G26</f>
        <v>10000000</v>
      </c>
      <c r="D26" s="1202"/>
      <c r="E26" s="1202"/>
      <c r="F26" s="1203">
        <v>10000000</v>
      </c>
      <c r="G26" s="1202"/>
      <c r="H26" s="1204">
        <v>10000000</v>
      </c>
      <c r="I26" s="1202"/>
      <c r="J26" s="1205"/>
      <c r="K26" s="1202"/>
      <c r="L26" s="1202"/>
      <c r="M26" s="1202"/>
      <c r="N26" s="1206"/>
      <c r="O26" s="1206"/>
      <c r="P26" s="1206"/>
    </row>
    <row r="29" spans="1:16" x14ac:dyDescent="0.25">
      <c r="H29" s="1162">
        <f>447000</f>
        <v>447000</v>
      </c>
    </row>
    <row r="30" spans="1:16" x14ac:dyDescent="0.25">
      <c r="H30" s="1162">
        <v>23924880</v>
      </c>
    </row>
    <row r="31" spans="1:16" x14ac:dyDescent="0.25">
      <c r="H31" s="1162">
        <v>6000000</v>
      </c>
    </row>
    <row r="32" spans="1:16" x14ac:dyDescent="0.25">
      <c r="H32" s="1162">
        <v>4988592</v>
      </c>
    </row>
    <row r="33" spans="8:8" x14ac:dyDescent="0.25">
      <c r="H33" s="1162">
        <v>4500000</v>
      </c>
    </row>
    <row r="34" spans="8:8" x14ac:dyDescent="0.25">
      <c r="H34" s="1162">
        <f>SUM(H29:H33)</f>
        <v>39860472</v>
      </c>
    </row>
  </sheetData>
  <mergeCells count="14">
    <mergeCell ref="J4:M4"/>
    <mergeCell ref="N4:N5"/>
    <mergeCell ref="O4:O5"/>
    <mergeCell ref="P4:P5"/>
    <mergeCell ref="A1:B1"/>
    <mergeCell ref="A2:K2"/>
    <mergeCell ref="C3:G3"/>
    <mergeCell ref="N3:P3"/>
    <mergeCell ref="A4:A5"/>
    <mergeCell ref="B4:B5"/>
    <mergeCell ref="C4:C5"/>
    <mergeCell ref="D4:G4"/>
    <mergeCell ref="H4:H5"/>
    <mergeCell ref="I4:I5"/>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39997558519241921"/>
  </sheetPr>
  <dimension ref="A1:Z59"/>
  <sheetViews>
    <sheetView view="pageBreakPreview" zoomScaleNormal="90" zoomScaleSheetLayoutView="100" workbookViewId="0">
      <pane xSplit="2" ySplit="7" topLeftCell="C40" activePane="bottomRight" state="frozen"/>
      <selection pane="topRight" activeCell="C1" sqref="C1"/>
      <selection pane="bottomLeft" activeCell="A7" sqref="A7"/>
      <selection pane="bottomRight" activeCell="B67" sqref="B67"/>
    </sheetView>
  </sheetViews>
  <sheetFormatPr defaultColWidth="8.85546875" defaultRowHeight="15" x14ac:dyDescent="0.25"/>
  <cols>
    <col min="1" max="1" width="7.28515625" style="36" customWidth="1"/>
    <col min="2" max="2" width="45.5703125" style="36" customWidth="1"/>
    <col min="3" max="4" width="13.140625" style="36" customWidth="1"/>
    <col min="5" max="5" width="15" style="1359" customWidth="1"/>
    <col min="6" max="6" width="12" style="2048" customWidth="1"/>
    <col min="7" max="7" width="14.28515625" style="2048" customWidth="1"/>
    <col min="8" max="8" width="18.28515625" style="2048" hidden="1" customWidth="1"/>
    <col min="9" max="9" width="15.28515625" style="2048" customWidth="1"/>
    <col min="10" max="10" width="11.85546875" style="36" customWidth="1"/>
    <col min="11" max="11" width="11.28515625" style="36" customWidth="1"/>
    <col min="12" max="12" width="9.140625" style="36" hidden="1" customWidth="1"/>
    <col min="13" max="13" width="19.140625" style="36" hidden="1" customWidth="1"/>
    <col min="14" max="14" width="13" style="36" hidden="1" customWidth="1"/>
    <col min="15" max="15" width="13.140625" style="36" hidden="1" customWidth="1"/>
    <col min="16" max="16" width="10.140625" style="36" hidden="1" customWidth="1"/>
    <col min="17" max="17" width="11.42578125" style="36" hidden="1" customWidth="1"/>
    <col min="18" max="18" width="18.5703125" style="36" hidden="1" customWidth="1"/>
    <col min="19" max="19" width="4.7109375" style="36" hidden="1" customWidth="1"/>
    <col min="20" max="20" width="14.5703125" style="36" hidden="1" customWidth="1"/>
    <col min="21" max="21" width="14.28515625" style="36" hidden="1" customWidth="1"/>
    <col min="22" max="22" width="8.85546875" style="36" hidden="1" customWidth="1"/>
    <col min="23" max="23" width="56.42578125" style="36" hidden="1" customWidth="1"/>
    <col min="24" max="24" width="0" style="36" hidden="1" customWidth="1"/>
    <col min="25" max="25" width="20.28515625" style="36" hidden="1" customWidth="1"/>
    <col min="26" max="26" width="15.42578125" style="36" hidden="1" customWidth="1"/>
    <col min="27" max="16384" width="8.85546875" style="36"/>
  </cols>
  <sheetData>
    <row r="1" spans="1:26" s="204" customFormat="1" ht="18.75" customHeight="1" x14ac:dyDescent="0.25">
      <c r="A1" s="242" t="str">
        <f>'48_NĐ31'!A1</f>
        <v xml:space="preserve">UBND PHƯỜNG BẮC KẠN </v>
      </c>
      <c r="E1" s="2046"/>
      <c r="F1" s="2047"/>
      <c r="G1" s="2047"/>
      <c r="H1" s="2047"/>
      <c r="I1" s="3141" t="s">
        <v>978</v>
      </c>
      <c r="J1" s="3141"/>
      <c r="K1" s="3141"/>
    </row>
    <row r="2" spans="1:26" s="204" customFormat="1" ht="18.75" hidden="1" customHeight="1" x14ac:dyDescent="0.25">
      <c r="A2" s="3141"/>
      <c r="B2" s="3141"/>
      <c r="C2" s="3141"/>
      <c r="D2" s="3141"/>
      <c r="E2" s="3141"/>
      <c r="F2" s="3141"/>
      <c r="G2" s="3141"/>
      <c r="H2" s="3141"/>
      <c r="I2" s="3141"/>
      <c r="J2" s="3141"/>
      <c r="K2" s="3141"/>
    </row>
    <row r="3" spans="1:26" ht="19.5" customHeight="1" x14ac:dyDescent="0.25">
      <c r="A3" s="3129" t="s">
        <v>1369</v>
      </c>
      <c r="B3" s="3129"/>
      <c r="C3" s="3129"/>
      <c r="D3" s="3129"/>
      <c r="E3" s="3129"/>
      <c r="F3" s="3129"/>
      <c r="G3" s="3129"/>
      <c r="H3" s="3129"/>
      <c r="I3" s="3129"/>
      <c r="J3" s="3129"/>
      <c r="K3" s="3129"/>
    </row>
    <row r="4" spans="1:26" ht="19.5" customHeight="1" x14ac:dyDescent="0.25">
      <c r="A4" s="3253" t="str">
        <f>'60_TT342'!A4:H4</f>
        <v>(Kèm theo Quyết định số          /QĐ-UBND ngày          /4/2026 của UBND phường Bắc Kạn)</v>
      </c>
      <c r="B4" s="3253"/>
      <c r="C4" s="3253"/>
      <c r="D4" s="3253"/>
      <c r="E4" s="3253"/>
      <c r="F4" s="3253"/>
      <c r="G4" s="3253"/>
      <c r="H4" s="3253"/>
      <c r="I4" s="3253"/>
      <c r="J4" s="3253"/>
      <c r="K4" s="3253"/>
      <c r="M4" s="46">
        <f>H10-H28</f>
        <v>0</v>
      </c>
    </row>
    <row r="5" spans="1:26" ht="15.75" x14ac:dyDescent="0.25">
      <c r="I5" s="3154" t="s">
        <v>1187</v>
      </c>
      <c r="J5" s="3154"/>
      <c r="K5" s="3154"/>
    </row>
    <row r="6" spans="1:26" ht="27" customHeight="1" x14ac:dyDescent="0.25">
      <c r="A6" s="3252" t="s">
        <v>0</v>
      </c>
      <c r="B6" s="3252" t="s">
        <v>1</v>
      </c>
      <c r="C6" s="3252" t="s">
        <v>90</v>
      </c>
      <c r="D6" s="3252"/>
      <c r="E6" s="3255" t="s">
        <v>91</v>
      </c>
      <c r="F6" s="3257" t="s">
        <v>545</v>
      </c>
      <c r="G6" s="3257"/>
      <c r="H6" s="3257"/>
      <c r="I6" s="3257"/>
      <c r="J6" s="3252" t="s">
        <v>92</v>
      </c>
      <c r="K6" s="3252"/>
      <c r="M6" s="450" t="e">
        <f>'5.13'!D8</f>
        <v>#REF!</v>
      </c>
      <c r="N6" s="433" t="e">
        <f>M6-I9</f>
        <v>#REF!</v>
      </c>
    </row>
    <row r="7" spans="1:26" ht="36.75" customHeight="1" x14ac:dyDescent="0.25">
      <c r="A7" s="3254"/>
      <c r="B7" s="3254"/>
      <c r="C7" s="218" t="s">
        <v>93</v>
      </c>
      <c r="D7" s="218" t="s">
        <v>94</v>
      </c>
      <c r="E7" s="3256"/>
      <c r="F7" s="2536" t="s">
        <v>566</v>
      </c>
      <c r="G7" s="2536" t="s">
        <v>567</v>
      </c>
      <c r="H7" s="2536" t="s">
        <v>84</v>
      </c>
      <c r="I7" s="2536" t="s">
        <v>85</v>
      </c>
      <c r="J7" s="218" t="s">
        <v>93</v>
      </c>
      <c r="K7" s="218" t="s">
        <v>94</v>
      </c>
      <c r="M7" s="46"/>
    </row>
    <row r="8" spans="1:26" s="2077" customFormat="1" ht="18.75" customHeight="1" x14ac:dyDescent="0.25">
      <c r="A8" s="2542" t="s">
        <v>3</v>
      </c>
      <c r="B8" s="2542" t="s">
        <v>4</v>
      </c>
      <c r="C8" s="2542">
        <v>1</v>
      </c>
      <c r="D8" s="2542">
        <v>2</v>
      </c>
      <c r="E8" s="2543" t="s">
        <v>1197</v>
      </c>
      <c r="F8" s="2544">
        <v>4</v>
      </c>
      <c r="G8" s="2544">
        <v>5</v>
      </c>
      <c r="H8" s="2545">
        <v>6</v>
      </c>
      <c r="I8" s="2545" t="s">
        <v>1975</v>
      </c>
      <c r="J8" s="2542" t="s">
        <v>1976</v>
      </c>
      <c r="K8" s="2542" t="s">
        <v>1977</v>
      </c>
      <c r="M8" s="2078">
        <v>1</v>
      </c>
      <c r="N8" s="2078" t="s">
        <v>689</v>
      </c>
      <c r="O8" s="2077">
        <f>I9+H9</f>
        <v>3103255.1620000005</v>
      </c>
    </row>
    <row r="9" spans="1:26" s="190" customFormat="1" ht="18" customHeight="1" x14ac:dyDescent="0.2">
      <c r="A9" s="130" t="s">
        <v>3</v>
      </c>
      <c r="B9" s="131" t="s">
        <v>96</v>
      </c>
      <c r="C9" s="2550">
        <f t="shared" ref="C9:I9" si="0">SUM(C10,C31,C32,C33,C34)</f>
        <v>68803000</v>
      </c>
      <c r="D9" s="2550">
        <f t="shared" si="0"/>
        <v>68803000</v>
      </c>
      <c r="E9" s="2101">
        <f>SUM(E10,E31,E32,E33,E34)</f>
        <v>70064615.063999996</v>
      </c>
      <c r="F9" s="2551">
        <f t="shared" si="0"/>
        <v>889360.57799999998</v>
      </c>
      <c r="G9" s="2102">
        <f t="shared" si="0"/>
        <v>66071999.324000008</v>
      </c>
      <c r="H9" s="2552">
        <f>SUM(H10,H31,H32,H33,H34)</f>
        <v>0</v>
      </c>
      <c r="I9" s="2551">
        <f t="shared" si="0"/>
        <v>3103255.1620000005</v>
      </c>
      <c r="J9" s="2826">
        <f>E9/C9%</f>
        <v>101.83366286935163</v>
      </c>
      <c r="K9" s="2826">
        <f>E9/D9%</f>
        <v>101.83366286935163</v>
      </c>
      <c r="L9" s="214" t="s">
        <v>687</v>
      </c>
      <c r="M9" s="215">
        <f>H11+H14+H18+H23+H24+H25+H30-M21</f>
        <v>-1923.1807740000002</v>
      </c>
      <c r="N9" s="125">
        <f>H28+H27+M21</f>
        <v>1923.1807740000002</v>
      </c>
      <c r="O9" s="125">
        <f>N9+M9</f>
        <v>0</v>
      </c>
      <c r="P9" s="125">
        <f>O9-H10</f>
        <v>0</v>
      </c>
      <c r="Q9" s="119"/>
      <c r="Z9" s="191">
        <f>E10-E28</f>
        <v>54928603.691</v>
      </c>
    </row>
    <row r="10" spans="1:26" s="190" customFormat="1" ht="18" customHeight="1" x14ac:dyDescent="0.2">
      <c r="A10" s="130" t="s">
        <v>5</v>
      </c>
      <c r="B10" s="131" t="s">
        <v>542</v>
      </c>
      <c r="C10" s="2550">
        <f>SUM(C11,C14,C18,C23,C24,C25,C26,C27,C28,C30)</f>
        <v>68803000</v>
      </c>
      <c r="D10" s="2550">
        <f>SUM(D11,D14,D18,D23,D24,D25,D26,D27,D28,D30)</f>
        <v>68803000</v>
      </c>
      <c r="E10" s="2101">
        <f>SUM(E11,E14,E18,E23,E24,E25,E26,E27,E28,E29,E30)</f>
        <v>69563815.787</v>
      </c>
      <c r="F10" s="2551">
        <f>SUM(F11,F14,F18,F23,F24,F25,F26,F27,F28,F29,F30)</f>
        <v>889360.57799999998</v>
      </c>
      <c r="G10" s="2102">
        <f>SUM(G11,G14,G18,G23,G24,G25,G26,G27,G28,G29,G30)</f>
        <v>66071999.324000008</v>
      </c>
      <c r="H10" s="2552">
        <f>SUM(H11,H14,H18,H23,H24,H25,H26,H27,H28,H29,H30)</f>
        <v>0</v>
      </c>
      <c r="I10" s="2551">
        <f>SUM(I11,I14,I18,I23,I24,I25,I26,I27,I28,I29,I30)</f>
        <v>2602455.8850000002</v>
      </c>
      <c r="J10" s="2826">
        <f>E10/C10%</f>
        <v>101.10578868217955</v>
      </c>
      <c r="K10" s="2826">
        <f>E10/D10%</f>
        <v>101.10578868217955</v>
      </c>
      <c r="L10" s="214" t="s">
        <v>688</v>
      </c>
      <c r="M10" s="215">
        <f>I23+I24+I25+I30+I34</f>
        <v>3103255.1620000005</v>
      </c>
      <c r="N10" s="125">
        <f>N21+I27</f>
        <v>2884.7711610000001</v>
      </c>
      <c r="O10" s="212">
        <f>N10+M10</f>
        <v>3106139.9331610003</v>
      </c>
      <c r="P10" s="125"/>
      <c r="Q10" s="217">
        <f>I10+H10</f>
        <v>2602455.8850000002</v>
      </c>
      <c r="R10" s="682">
        <f>O8-Q10</f>
        <v>500799.27700000023</v>
      </c>
      <c r="W10" s="191">
        <f>E9-E28-E34</f>
        <v>54928603.690999992</v>
      </c>
      <c r="Z10" s="1105">
        <f>D10-D28</f>
        <v>41403000</v>
      </c>
    </row>
    <row r="11" spans="1:26" s="190" customFormat="1" ht="18" customHeight="1" x14ac:dyDescent="0.2">
      <c r="A11" s="232">
        <v>1</v>
      </c>
      <c r="B11" s="2072" t="s">
        <v>538</v>
      </c>
      <c r="C11" s="2546">
        <f>SUM(C12:C13)</f>
        <v>75000</v>
      </c>
      <c r="D11" s="2546">
        <f>C11</f>
        <v>75000</v>
      </c>
      <c r="E11" s="2094">
        <f>SUM(E12:E13)</f>
        <v>71050.218999999997</v>
      </c>
      <c r="F11" s="2547"/>
      <c r="G11" s="2095">
        <f>SUM(G12:G13)</f>
        <v>71050.218999999997</v>
      </c>
      <c r="H11" s="2548">
        <f>SUM(H12:H13)</f>
        <v>0</v>
      </c>
      <c r="I11" s="2549">
        <f>SUM(I12:I13)</f>
        <v>0</v>
      </c>
      <c r="J11" s="2827">
        <f>SUM(J12:J13)</f>
        <v>94.733625333333336</v>
      </c>
      <c r="K11" s="2827">
        <f>SUM(K12:K13)</f>
        <v>94.733625333333336</v>
      </c>
      <c r="L11" s="119"/>
      <c r="M11" s="125"/>
      <c r="N11" s="119"/>
      <c r="O11" s="191"/>
      <c r="W11" s="191">
        <f>H9+I9</f>
        <v>3103255.1620000005</v>
      </c>
    </row>
    <row r="12" spans="1:26" s="190" customFormat="1" ht="18" customHeight="1" x14ac:dyDescent="0.2">
      <c r="A12" s="218" t="s">
        <v>514</v>
      </c>
      <c r="B12" s="153" t="s">
        <v>533</v>
      </c>
      <c r="C12" s="2083">
        <f>D12</f>
        <v>75000</v>
      </c>
      <c r="D12" s="2083">
        <f>'50_NĐ31'!C13</f>
        <v>75000</v>
      </c>
      <c r="E12" s="2084">
        <f>SUM(F12:I12)</f>
        <v>71050.218999999997</v>
      </c>
      <c r="F12" s="2085"/>
      <c r="G12" s="2086">
        <v>71050.218999999997</v>
      </c>
      <c r="H12" s="2085"/>
      <c r="I12" s="2085"/>
      <c r="J12" s="2828">
        <f>E12/C12%</f>
        <v>94.733625333333336</v>
      </c>
      <c r="K12" s="2828">
        <f>E12/D12%</f>
        <v>94.733625333333336</v>
      </c>
      <c r="M12" s="425">
        <f>M9+M10</f>
        <v>3101331.9812260005</v>
      </c>
      <c r="N12" s="220">
        <f>N9+N10</f>
        <v>4807.951935</v>
      </c>
      <c r="O12" s="220">
        <f>O9+O10</f>
        <v>3106139.9331610003</v>
      </c>
      <c r="Q12" s="224"/>
      <c r="W12" s="322">
        <f>I9+H9-H28-H34</f>
        <v>3103255.1620000005</v>
      </c>
      <c r="Y12" s="191">
        <f>SUM(H12,H15,H19)</f>
        <v>0</v>
      </c>
    </row>
    <row r="13" spans="1:26" s="119" customFormat="1" ht="18" customHeight="1" x14ac:dyDescent="0.2">
      <c r="A13" s="218" t="s">
        <v>514</v>
      </c>
      <c r="B13" s="153" t="s">
        <v>15</v>
      </c>
      <c r="C13" s="1671">
        <f>D13</f>
        <v>0</v>
      </c>
      <c r="D13" s="1671">
        <f>'50_NĐ31'!C14</f>
        <v>0</v>
      </c>
      <c r="E13" s="1671">
        <f>SUM(F13:I13)</f>
        <v>0</v>
      </c>
      <c r="F13" s="2085"/>
      <c r="G13" s="2086"/>
      <c r="H13" s="2085"/>
      <c r="I13" s="2085"/>
      <c r="J13" s="2828"/>
      <c r="K13" s="2828"/>
      <c r="M13" s="221">
        <f>M12+N12</f>
        <v>3106139.9331610003</v>
      </c>
      <c r="O13" s="321">
        <f>O8-O12</f>
        <v>-2884.7711609997787</v>
      </c>
      <c r="Q13" s="320"/>
      <c r="R13" s="320"/>
      <c r="T13" s="265"/>
      <c r="U13" s="255"/>
      <c r="W13" s="321">
        <f>H10-H28-H34</f>
        <v>0</v>
      </c>
      <c r="Y13" s="125">
        <f>SUM(H13,H16,H20)</f>
        <v>0</v>
      </c>
    </row>
    <row r="14" spans="1:26" s="190" customFormat="1" ht="18" customHeight="1" x14ac:dyDescent="0.2">
      <c r="A14" s="218">
        <v>2</v>
      </c>
      <c r="B14" s="219" t="s">
        <v>539</v>
      </c>
      <c r="C14" s="2079">
        <f>SUM(C15:C17)</f>
        <v>145000</v>
      </c>
      <c r="D14" s="2079">
        <f>SUM(D15:D17)</f>
        <v>145000</v>
      </c>
      <c r="E14" s="2080">
        <f>SUM(E15:E17)</f>
        <v>815571.32900000003</v>
      </c>
      <c r="F14" s="2081"/>
      <c r="G14" s="2082">
        <f>SUM(G15:G17)</f>
        <v>815571.32900000003</v>
      </c>
      <c r="H14" s="2081">
        <f>SUM(H15:H17)</f>
        <v>0</v>
      </c>
      <c r="I14" s="2081"/>
      <c r="J14" s="2829">
        <f t="shared" ref="J14:J30" si="1">E14/C14%</f>
        <v>562.46298551724135</v>
      </c>
      <c r="K14" s="2829">
        <f t="shared" ref="K14:K30" si="2">E14/D14%</f>
        <v>562.46298551724135</v>
      </c>
      <c r="M14" s="191"/>
      <c r="Q14" s="224"/>
      <c r="R14" s="224"/>
      <c r="T14" s="266"/>
      <c r="W14" s="190">
        <v>70318</v>
      </c>
      <c r="Y14" s="191">
        <f>SUM(H17,H22)</f>
        <v>0</v>
      </c>
    </row>
    <row r="15" spans="1:26" s="119" customFormat="1" ht="18" customHeight="1" x14ac:dyDescent="0.2">
      <c r="A15" s="108" t="s">
        <v>514</v>
      </c>
      <c r="B15" s="153" t="s">
        <v>533</v>
      </c>
      <c r="C15" s="2083">
        <f>D15</f>
        <v>55000</v>
      </c>
      <c r="D15" s="2083">
        <f>'50_NĐ31'!C16</f>
        <v>55000</v>
      </c>
      <c r="E15" s="2084">
        <f>SUM(F15:I15)</f>
        <v>456818.81300000002</v>
      </c>
      <c r="F15" s="2085"/>
      <c r="G15" s="2088">
        <v>456818.81300000002</v>
      </c>
      <c r="H15" s="2085"/>
      <c r="I15" s="2085"/>
      <c r="J15" s="2828">
        <f>E15/C15%</f>
        <v>830.57965999999999</v>
      </c>
      <c r="K15" s="2828">
        <f t="shared" si="2"/>
        <v>830.57965999999999</v>
      </c>
      <c r="M15" s="222">
        <f>D10-D28</f>
        <v>41403000</v>
      </c>
      <c r="N15" s="125">
        <f>H10-H28</f>
        <v>0</v>
      </c>
      <c r="Q15" s="320"/>
      <c r="R15" s="320"/>
      <c r="T15" s="253"/>
      <c r="W15" s="125">
        <f>W14-W13</f>
        <v>70318</v>
      </c>
    </row>
    <row r="16" spans="1:26" s="119" customFormat="1" ht="18" customHeight="1" x14ac:dyDescent="0.2">
      <c r="A16" s="108" t="s">
        <v>514</v>
      </c>
      <c r="B16" s="153" t="s">
        <v>15</v>
      </c>
      <c r="C16" s="2083">
        <f>D16</f>
        <v>50000</v>
      </c>
      <c r="D16" s="2083">
        <f>'50_NĐ31'!C17</f>
        <v>50000</v>
      </c>
      <c r="E16" s="2084">
        <f>SUM(F16:I16)</f>
        <v>358752.516</v>
      </c>
      <c r="F16" s="2085"/>
      <c r="G16" s="2088">
        <v>358752.516</v>
      </c>
      <c r="H16" s="2085"/>
      <c r="I16" s="2085"/>
      <c r="J16" s="2828">
        <f t="shared" si="1"/>
        <v>717.50503200000003</v>
      </c>
      <c r="K16" s="2828">
        <f t="shared" si="2"/>
        <v>717.50503200000003</v>
      </c>
      <c r="M16" s="222">
        <f>E10-E28</f>
        <v>54928603.691</v>
      </c>
      <c r="N16" s="321">
        <f>Q12-N15</f>
        <v>0</v>
      </c>
      <c r="O16" s="190"/>
      <c r="P16" s="407"/>
      <c r="Q16" s="224"/>
      <c r="R16" s="224"/>
      <c r="T16" s="253"/>
      <c r="W16" s="419">
        <f>I9+H9</f>
        <v>3103255.1620000005</v>
      </c>
    </row>
    <row r="17" spans="1:25" s="119" customFormat="1" ht="18" customHeight="1" x14ac:dyDescent="0.2">
      <c r="A17" s="108" t="s">
        <v>514</v>
      </c>
      <c r="B17" s="153" t="s">
        <v>16</v>
      </c>
      <c r="C17" s="2083">
        <f>D17</f>
        <v>40000</v>
      </c>
      <c r="D17" s="2083">
        <f>'50_NĐ31'!C18</f>
        <v>40000</v>
      </c>
      <c r="E17" s="1671">
        <f>SUM(F17:I17)</f>
        <v>0</v>
      </c>
      <c r="F17" s="2085"/>
      <c r="G17" s="2086"/>
      <c r="H17" s="2085"/>
      <c r="I17" s="2085"/>
      <c r="J17" s="2828"/>
      <c r="K17" s="2828"/>
      <c r="M17" s="222">
        <f>M15-M16</f>
        <v>-13525603.691</v>
      </c>
      <c r="O17" s="190"/>
      <c r="P17" s="407"/>
      <c r="Q17" s="224"/>
      <c r="R17" s="224"/>
      <c r="W17" s="418"/>
      <c r="Y17" s="125">
        <f>E12+E15+E19</f>
        <v>20909135.888</v>
      </c>
    </row>
    <row r="18" spans="1:25" s="190" customFormat="1" ht="18" customHeight="1" x14ac:dyDescent="0.2">
      <c r="A18" s="218">
        <v>3</v>
      </c>
      <c r="B18" s="219" t="s">
        <v>540</v>
      </c>
      <c r="C18" s="2079">
        <f t="shared" ref="C18:H18" si="3">SUM(C19:C22)</f>
        <v>19206000</v>
      </c>
      <c r="D18" s="2079">
        <f t="shared" si="3"/>
        <v>19206000</v>
      </c>
      <c r="E18" s="2080">
        <f t="shared" si="3"/>
        <v>24405574.295000002</v>
      </c>
      <c r="F18" s="2092">
        <f t="shared" si="3"/>
        <v>0</v>
      </c>
      <c r="G18" s="2089">
        <f t="shared" si="3"/>
        <v>24405574.295000002</v>
      </c>
      <c r="H18" s="2081">
        <f t="shared" si="3"/>
        <v>0</v>
      </c>
      <c r="I18" s="2081"/>
      <c r="J18" s="2829">
        <f t="shared" si="1"/>
        <v>127.0726559148183</v>
      </c>
      <c r="K18" s="2829">
        <f t="shared" si="2"/>
        <v>127.0726559148183</v>
      </c>
      <c r="M18" s="223"/>
      <c r="N18" s="322">
        <f>N16-M17</f>
        <v>13525603.691</v>
      </c>
      <c r="P18" s="407"/>
      <c r="Q18" s="224"/>
      <c r="R18" s="3251" t="s">
        <v>685</v>
      </c>
      <c r="S18" s="3251"/>
      <c r="T18" s="3251"/>
      <c r="U18" s="3251"/>
      <c r="Y18" s="191">
        <f>E13+E20+E16</f>
        <v>2513727.1169999996</v>
      </c>
    </row>
    <row r="19" spans="1:25" s="119" customFormat="1" ht="18" customHeight="1" x14ac:dyDescent="0.2">
      <c r="A19" s="108" t="s">
        <v>514</v>
      </c>
      <c r="B19" s="153" t="s">
        <v>533</v>
      </c>
      <c r="C19" s="2083">
        <f t="shared" ref="C19:C25" si="4">D19</f>
        <v>16793000</v>
      </c>
      <c r="D19" s="2083">
        <f>'50_NĐ31'!C20</f>
        <v>16793000</v>
      </c>
      <c r="E19" s="2084">
        <f t="shared" ref="E19:E30" si="5">SUM(F19:I19)</f>
        <v>20381266.855999999</v>
      </c>
      <c r="F19" s="2085"/>
      <c r="G19" s="2086">
        <v>20381266.855999999</v>
      </c>
      <c r="H19" s="2085"/>
      <c r="I19" s="2085"/>
      <c r="J19" s="2828">
        <f t="shared" si="1"/>
        <v>121.36763446674209</v>
      </c>
      <c r="K19" s="2828">
        <f t="shared" si="2"/>
        <v>121.36763446674209</v>
      </c>
      <c r="L19" s="211" t="s">
        <v>143</v>
      </c>
      <c r="M19" s="506">
        <v>1006</v>
      </c>
      <c r="N19" s="344" t="s">
        <v>925</v>
      </c>
      <c r="P19" s="408"/>
      <c r="Q19" s="408"/>
      <c r="R19" s="3251"/>
      <c r="S19" s="3251"/>
      <c r="T19" s="3251"/>
      <c r="U19" s="3251"/>
      <c r="W19" s="423">
        <f>D10-D28</f>
        <v>41403000</v>
      </c>
      <c r="Y19" s="125">
        <f>E17+E22</f>
        <v>1733377.9310000001</v>
      </c>
    </row>
    <row r="20" spans="1:25" s="119" customFormat="1" ht="18" customHeight="1" x14ac:dyDescent="0.2">
      <c r="A20" s="108" t="s">
        <v>514</v>
      </c>
      <c r="B20" s="153" t="s">
        <v>15</v>
      </c>
      <c r="C20" s="2083">
        <f t="shared" si="4"/>
        <v>75000</v>
      </c>
      <c r="D20" s="2083">
        <f>'50_NĐ31'!C21</f>
        <v>75000</v>
      </c>
      <c r="E20" s="2084">
        <f t="shared" si="5"/>
        <v>2154974.6009999998</v>
      </c>
      <c r="F20" s="2085"/>
      <c r="G20" s="2086">
        <v>2154974.6009999998</v>
      </c>
      <c r="H20" s="2085"/>
      <c r="I20" s="2085"/>
      <c r="J20" s="2828">
        <f t="shared" si="1"/>
        <v>2873.2994679999997</v>
      </c>
      <c r="K20" s="2828">
        <f t="shared" si="2"/>
        <v>2873.2994679999997</v>
      </c>
      <c r="L20" s="211" t="s">
        <v>686</v>
      </c>
      <c r="M20" s="424">
        <v>4807.951935</v>
      </c>
      <c r="O20" s="191"/>
      <c r="P20" s="407"/>
      <c r="Q20" s="407"/>
      <c r="R20" s="3251"/>
      <c r="S20" s="3251"/>
      <c r="T20" s="3251"/>
      <c r="U20" s="3251"/>
      <c r="W20" s="321">
        <f>H9-H34</f>
        <v>0</v>
      </c>
    </row>
    <row r="21" spans="1:25" s="119" customFormat="1" ht="18" customHeight="1" x14ac:dyDescent="0.2">
      <c r="A21" s="108" t="s">
        <v>514</v>
      </c>
      <c r="B21" s="153" t="s">
        <v>541</v>
      </c>
      <c r="C21" s="2083">
        <f t="shared" si="4"/>
        <v>730000</v>
      </c>
      <c r="D21" s="2083">
        <f>'50_NĐ31'!C22</f>
        <v>730000</v>
      </c>
      <c r="E21" s="2084">
        <f t="shared" si="5"/>
        <v>135954.90700000001</v>
      </c>
      <c r="F21" s="2085"/>
      <c r="G21" s="2086">
        <v>135954.90700000001</v>
      </c>
      <c r="H21" s="2085"/>
      <c r="I21" s="2090"/>
      <c r="J21" s="2828">
        <f t="shared" si="1"/>
        <v>18.623959863013699</v>
      </c>
      <c r="K21" s="2828">
        <f t="shared" si="2"/>
        <v>18.623959863013699</v>
      </c>
      <c r="L21" s="211" t="s">
        <v>687</v>
      </c>
      <c r="M21" s="343">
        <f>M20*40%</f>
        <v>1923.1807740000002</v>
      </c>
      <c r="N21" s="343">
        <f>M20*60%</f>
        <v>2884.7711610000001</v>
      </c>
      <c r="O21" s="1338" t="s">
        <v>1385</v>
      </c>
      <c r="P21" s="409"/>
      <c r="Q21" s="408"/>
      <c r="R21" s="3251"/>
      <c r="S21" s="3251"/>
      <c r="T21" s="3251"/>
      <c r="U21" s="3251"/>
    </row>
    <row r="22" spans="1:25" s="119" customFormat="1" ht="18" customHeight="1" x14ac:dyDescent="0.2">
      <c r="A22" s="108" t="s">
        <v>514</v>
      </c>
      <c r="B22" s="153" t="s">
        <v>16</v>
      </c>
      <c r="C22" s="2083">
        <f t="shared" si="4"/>
        <v>1608000</v>
      </c>
      <c r="D22" s="2083">
        <f>'50_NĐ31'!C23</f>
        <v>1608000</v>
      </c>
      <c r="E22" s="2084">
        <f>SUM(F22:I22)</f>
        <v>1733377.9310000001</v>
      </c>
      <c r="F22" s="2085"/>
      <c r="G22" s="2086">
        <v>1733377.9310000001</v>
      </c>
      <c r="H22" s="2085"/>
      <c r="I22" s="2090"/>
      <c r="J22" s="2828">
        <f t="shared" si="1"/>
        <v>107.79713501243782</v>
      </c>
      <c r="K22" s="2828">
        <f t="shared" si="2"/>
        <v>107.79713501243782</v>
      </c>
      <c r="L22" s="211" t="s">
        <v>688</v>
      </c>
      <c r="O22" s="343"/>
      <c r="P22" s="408"/>
      <c r="Q22" s="408"/>
      <c r="R22" s="3251"/>
      <c r="S22" s="3251"/>
      <c r="T22" s="3251"/>
      <c r="U22" s="3251"/>
    </row>
    <row r="23" spans="1:25" s="190" customFormat="1" ht="18" customHeight="1" x14ac:dyDescent="0.2">
      <c r="A23" s="218">
        <v>4</v>
      </c>
      <c r="B23" s="219" t="s">
        <v>8</v>
      </c>
      <c r="C23" s="2079">
        <f t="shared" si="4"/>
        <v>7983000</v>
      </c>
      <c r="D23" s="2079">
        <f>'50_NĐ31'!C24</f>
        <v>7983000</v>
      </c>
      <c r="E23" s="2080">
        <f>SUM(F23:I23)</f>
        <v>8968980.148</v>
      </c>
      <c r="F23" s="2081"/>
      <c r="G23" s="2082">
        <v>8968980.148</v>
      </c>
      <c r="H23" s="2091"/>
      <c r="I23" s="2091"/>
      <c r="J23" s="2829">
        <f t="shared" si="1"/>
        <v>112.35099772015533</v>
      </c>
      <c r="K23" s="2829">
        <f t="shared" si="2"/>
        <v>112.35099772015533</v>
      </c>
      <c r="L23" s="566"/>
      <c r="O23" s="342"/>
      <c r="Y23" s="191">
        <f>I23+H23</f>
        <v>0</v>
      </c>
    </row>
    <row r="24" spans="1:25" s="190" customFormat="1" ht="18" customHeight="1" thickBot="1" x14ac:dyDescent="0.25">
      <c r="A24" s="218">
        <v>5</v>
      </c>
      <c r="B24" s="219" t="s">
        <v>9</v>
      </c>
      <c r="C24" s="2079">
        <f t="shared" si="4"/>
        <v>8700000</v>
      </c>
      <c r="D24" s="2079">
        <f>'50_NĐ31'!C25</f>
        <v>8700000</v>
      </c>
      <c r="E24" s="2080">
        <f t="shared" si="5"/>
        <v>13898170.473999999</v>
      </c>
      <c r="F24" s="2081">
        <v>191449.39499999999</v>
      </c>
      <c r="G24" s="2082">
        <v>13706721.079</v>
      </c>
      <c r="H24" s="2081"/>
      <c r="I24" s="2081"/>
      <c r="J24" s="2829">
        <f t="shared" si="1"/>
        <v>159.74908590804597</v>
      </c>
      <c r="K24" s="2829">
        <f t="shared" si="2"/>
        <v>159.74908590804597</v>
      </c>
      <c r="M24" s="224"/>
      <c r="O24" s="342"/>
      <c r="Y24" s="191">
        <f>I24+H24</f>
        <v>0</v>
      </c>
    </row>
    <row r="25" spans="1:25" s="190" customFormat="1" ht="18" customHeight="1" thickBot="1" x14ac:dyDescent="0.25">
      <c r="A25" s="218">
        <v>6</v>
      </c>
      <c r="B25" s="219" t="s">
        <v>428</v>
      </c>
      <c r="C25" s="2079">
        <f t="shared" si="4"/>
        <v>3170000</v>
      </c>
      <c r="D25" s="2079">
        <f>'50_NĐ31'!C26</f>
        <v>3170000</v>
      </c>
      <c r="E25" s="2080">
        <f t="shared" si="5"/>
        <v>1982296.817</v>
      </c>
      <c r="F25" s="2081"/>
      <c r="G25" s="2082">
        <v>1982296.817</v>
      </c>
      <c r="H25" s="2081"/>
      <c r="I25" s="2081"/>
      <c r="J25" s="2829">
        <f t="shared" si="1"/>
        <v>62.533022618296535</v>
      </c>
      <c r="K25" s="2829">
        <f t="shared" si="2"/>
        <v>62.533022618296535</v>
      </c>
      <c r="M25" s="224" t="e">
        <f>'63_TT342'!#REF!</f>
        <v>#REF!</v>
      </c>
      <c r="N25" s="873" t="s">
        <v>899</v>
      </c>
      <c r="O25" s="874"/>
      <c r="Y25" s="191">
        <f>I25+H25</f>
        <v>0</v>
      </c>
    </row>
    <row r="26" spans="1:25" s="190" customFormat="1" ht="18" customHeight="1" x14ac:dyDescent="0.2">
      <c r="A26" s="218">
        <v>7</v>
      </c>
      <c r="B26" s="219" t="s">
        <v>20</v>
      </c>
      <c r="C26" s="2079"/>
      <c r="D26" s="2092">
        <f>C26</f>
        <v>0</v>
      </c>
      <c r="E26" s="2092">
        <f t="shared" si="5"/>
        <v>0</v>
      </c>
      <c r="F26" s="2092"/>
      <c r="G26" s="2082"/>
      <c r="H26" s="2081"/>
      <c r="I26" s="2081"/>
      <c r="J26" s="2829"/>
      <c r="K26" s="2829"/>
      <c r="M26" s="224"/>
      <c r="N26" s="342"/>
      <c r="O26" s="342"/>
      <c r="Y26" s="191">
        <f t="shared" ref="Y26:Y43" si="6">I26+H26</f>
        <v>0</v>
      </c>
    </row>
    <row r="27" spans="1:25" s="190" customFormat="1" ht="18" customHeight="1" x14ac:dyDescent="0.2">
      <c r="A27" s="218">
        <v>8</v>
      </c>
      <c r="B27" s="219" t="s">
        <v>19</v>
      </c>
      <c r="C27" s="2079">
        <f>D27</f>
        <v>280000</v>
      </c>
      <c r="D27" s="2079">
        <f>'50_NĐ31'!C27</f>
        <v>280000</v>
      </c>
      <c r="E27" s="2080">
        <f t="shared" si="5"/>
        <v>395968.03499999997</v>
      </c>
      <c r="F27" s="2081"/>
      <c r="G27" s="2082">
        <v>395968.03499999997</v>
      </c>
      <c r="H27" s="2091"/>
      <c r="I27" s="2091"/>
      <c r="J27" s="2829">
        <f t="shared" si="1"/>
        <v>141.41715535714286</v>
      </c>
      <c r="K27" s="2829">
        <f t="shared" si="2"/>
        <v>141.41715535714286</v>
      </c>
      <c r="Y27" s="191">
        <f t="shared" si="6"/>
        <v>0</v>
      </c>
    </row>
    <row r="28" spans="1:25" s="190" customFormat="1" ht="18" customHeight="1" thickBot="1" x14ac:dyDescent="0.25">
      <c r="A28" s="218">
        <v>9</v>
      </c>
      <c r="B28" s="219" t="s">
        <v>21</v>
      </c>
      <c r="C28" s="2079">
        <v>27400000</v>
      </c>
      <c r="D28" s="2079">
        <f>'50_NĐ31'!C28</f>
        <v>27400000</v>
      </c>
      <c r="E28" s="2080">
        <f t="shared" si="5"/>
        <v>14635212.096000001</v>
      </c>
      <c r="F28" s="2081"/>
      <c r="G28" s="2089">
        <v>14635212.096000001</v>
      </c>
      <c r="H28" s="2091"/>
      <c r="I28" s="2091"/>
      <c r="J28" s="2829">
        <f t="shared" si="1"/>
        <v>53.413182832116789</v>
      </c>
      <c r="K28" s="2829">
        <f t="shared" si="2"/>
        <v>53.413182832116789</v>
      </c>
      <c r="N28" s="223"/>
      <c r="O28" s="223"/>
      <c r="P28" s="254"/>
      <c r="Y28" s="191">
        <f>I28+H28</f>
        <v>0</v>
      </c>
    </row>
    <row r="29" spans="1:25" s="190" customFormat="1" ht="30" customHeight="1" thickBot="1" x14ac:dyDescent="0.25">
      <c r="A29" s="218">
        <v>10</v>
      </c>
      <c r="B29" s="219" t="s">
        <v>604</v>
      </c>
      <c r="C29" s="2092">
        <v>0</v>
      </c>
      <c r="D29" s="2092">
        <f>C29</f>
        <v>0</v>
      </c>
      <c r="E29" s="2080">
        <f t="shared" si="5"/>
        <v>79200</v>
      </c>
      <c r="F29" s="2092">
        <v>0</v>
      </c>
      <c r="G29" s="2082">
        <v>79200</v>
      </c>
      <c r="H29" s="2081"/>
      <c r="I29" s="2092">
        <v>0</v>
      </c>
      <c r="J29" s="2829">
        <v>0</v>
      </c>
      <c r="K29" s="2829">
        <v>0</v>
      </c>
      <c r="N29" s="873"/>
      <c r="O29" s="874"/>
      <c r="P29" s="254"/>
      <c r="Y29" s="191">
        <f t="shared" si="6"/>
        <v>0</v>
      </c>
    </row>
    <row r="30" spans="1:25" s="190" customFormat="1" ht="18" customHeight="1" x14ac:dyDescent="0.2">
      <c r="A30" s="218">
        <v>11</v>
      </c>
      <c r="B30" s="219" t="s">
        <v>10</v>
      </c>
      <c r="C30" s="2079">
        <f>D30</f>
        <v>1844000</v>
      </c>
      <c r="D30" s="2079">
        <f>'50_NĐ31'!C30</f>
        <v>1844000</v>
      </c>
      <c r="E30" s="2080">
        <f t="shared" si="5"/>
        <v>4311792.3739999998</v>
      </c>
      <c r="F30" s="2824">
        <v>697911.18299999996</v>
      </c>
      <c r="G30" s="2824">
        <f>694322.645+353704.661-36602</f>
        <v>1011425.3060000001</v>
      </c>
      <c r="H30" s="2825"/>
      <c r="I30" s="2824">
        <f>2919558.546-353704.661+36602</f>
        <v>2602455.8850000002</v>
      </c>
      <c r="J30" s="2829">
        <f t="shared" si="1"/>
        <v>233.82821984815618</v>
      </c>
      <c r="K30" s="2829">
        <f t="shared" si="2"/>
        <v>233.82821984815618</v>
      </c>
      <c r="N30" s="223"/>
      <c r="O30" s="322"/>
      <c r="P30" s="254"/>
      <c r="Y30" s="191">
        <f>I30+H30</f>
        <v>2602455.8850000002</v>
      </c>
    </row>
    <row r="31" spans="1:25" s="44" customFormat="1" ht="18" customHeight="1" x14ac:dyDescent="0.2">
      <c r="A31" s="218" t="s">
        <v>11</v>
      </c>
      <c r="B31" s="219" t="s">
        <v>97</v>
      </c>
      <c r="C31" s="2093"/>
      <c r="D31" s="2093"/>
      <c r="E31" s="2080"/>
      <c r="F31" s="2082"/>
      <c r="G31" s="2082"/>
      <c r="H31" s="2082"/>
      <c r="I31" s="2082"/>
      <c r="J31" s="2829"/>
      <c r="K31" s="2830"/>
      <c r="Y31" s="45">
        <f t="shared" si="6"/>
        <v>0</v>
      </c>
    </row>
    <row r="32" spans="1:25" s="44" customFormat="1" ht="18" customHeight="1" x14ac:dyDescent="0.2">
      <c r="A32" s="218" t="s">
        <v>17</v>
      </c>
      <c r="B32" s="219" t="s">
        <v>98</v>
      </c>
      <c r="C32" s="2087"/>
      <c r="D32" s="2087"/>
      <c r="E32" s="2082"/>
      <c r="F32" s="2082"/>
      <c r="G32" s="2082"/>
      <c r="H32" s="2082"/>
      <c r="I32" s="2082"/>
      <c r="J32" s="2829"/>
      <c r="K32" s="2830"/>
      <c r="Y32" s="45">
        <f t="shared" si="6"/>
        <v>0</v>
      </c>
    </row>
    <row r="33" spans="1:25" s="44" customFormat="1" ht="32.25" customHeight="1" x14ac:dyDescent="0.2">
      <c r="A33" s="218" t="s">
        <v>18</v>
      </c>
      <c r="B33" s="219" t="s">
        <v>583</v>
      </c>
      <c r="C33" s="2087"/>
      <c r="D33" s="2087"/>
      <c r="E33" s="2092">
        <f>SUM(F33:I33)</f>
        <v>0</v>
      </c>
      <c r="F33" s="2092"/>
      <c r="G33" s="2092">
        <v>0</v>
      </c>
      <c r="H33" s="2082"/>
      <c r="I33" s="2082"/>
      <c r="J33" s="2829"/>
      <c r="K33" s="2830"/>
      <c r="Y33" s="45">
        <f t="shared" si="6"/>
        <v>0</v>
      </c>
    </row>
    <row r="34" spans="1:25" s="44" customFormat="1" ht="18" customHeight="1" x14ac:dyDescent="0.2">
      <c r="A34" s="106" t="s">
        <v>22</v>
      </c>
      <c r="B34" s="2076" t="s">
        <v>99</v>
      </c>
      <c r="C34" s="1790"/>
      <c r="D34" s="1790"/>
      <c r="E34" s="2539">
        <f>SUM(F34:I34)</f>
        <v>500799.277</v>
      </c>
      <c r="F34" s="2540"/>
      <c r="G34" s="2540"/>
      <c r="H34" s="2540"/>
      <c r="I34" s="2541">
        <v>500799.277</v>
      </c>
      <c r="J34" s="2831"/>
      <c r="K34" s="2832"/>
      <c r="Y34" s="45">
        <f t="shared" si="6"/>
        <v>500799.277</v>
      </c>
    </row>
    <row r="35" spans="1:25" s="44" customFormat="1" ht="18" customHeight="1" x14ac:dyDescent="0.2">
      <c r="A35" s="169" t="s">
        <v>4</v>
      </c>
      <c r="B35" s="247" t="s">
        <v>100</v>
      </c>
      <c r="C35" s="1654"/>
      <c r="D35" s="1654"/>
      <c r="E35" s="2101">
        <f>SUM(E36,E41)</f>
        <v>368728607.75400001</v>
      </c>
      <c r="F35" s="2102"/>
      <c r="G35" s="2102"/>
      <c r="H35" s="2102">
        <f>SUM(H36,H41)</f>
        <v>0</v>
      </c>
      <c r="I35" s="2102">
        <f>SUM(I36,I41)</f>
        <v>368728607.75400001</v>
      </c>
      <c r="J35" s="1654"/>
      <c r="K35" s="2833"/>
      <c r="M35" s="2071">
        <v>215309.167686</v>
      </c>
      <c r="Y35" s="45">
        <f>I35+H35</f>
        <v>368728607.75400001</v>
      </c>
    </row>
    <row r="36" spans="1:25" s="44" customFormat="1" ht="18" customHeight="1" x14ac:dyDescent="0.2">
      <c r="A36" s="232" t="s">
        <v>5</v>
      </c>
      <c r="B36" s="2072" t="s">
        <v>58</v>
      </c>
      <c r="C36" s="1788"/>
      <c r="D36" s="1788"/>
      <c r="E36" s="2094">
        <f>SUM(H36:I36)</f>
        <v>368728607.75400001</v>
      </c>
      <c r="F36" s="2095"/>
      <c r="G36" s="2095"/>
      <c r="H36" s="2095">
        <f>SUM(H37:H38)</f>
        <v>0</v>
      </c>
      <c r="I36" s="2095">
        <f>SUM(I37:I38)</f>
        <v>368728607.75400001</v>
      </c>
      <c r="J36" s="1788"/>
      <c r="K36" s="2834"/>
      <c r="M36" s="2071">
        <f>M35-H35</f>
        <v>215309.167686</v>
      </c>
      <c r="Y36" s="45">
        <f>I36+H36</f>
        <v>368728607.75400001</v>
      </c>
    </row>
    <row r="37" spans="1:25" s="44" customFormat="1" ht="18" customHeight="1" x14ac:dyDescent="0.2">
      <c r="A37" s="109" t="s">
        <v>101</v>
      </c>
      <c r="B37" s="2073" t="s">
        <v>102</v>
      </c>
      <c r="C37" s="2093"/>
      <c r="D37" s="2093"/>
      <c r="E37" s="2080">
        <f t="shared" ref="E37:E41" si="7">SUM(H37:I37)</f>
        <v>256253874.59200001</v>
      </c>
      <c r="F37" s="2082"/>
      <c r="G37" s="2082"/>
      <c r="H37" s="2096"/>
      <c r="I37" s="2089">
        <f>256253874.592</f>
        <v>256253874.59200001</v>
      </c>
      <c r="J37" s="2093"/>
      <c r="K37" s="2835"/>
      <c r="M37" s="2071"/>
      <c r="Y37" s="45">
        <f t="shared" si="6"/>
        <v>256253874.59200001</v>
      </c>
    </row>
    <row r="38" spans="1:25" s="44" customFormat="1" ht="18" customHeight="1" x14ac:dyDescent="0.2">
      <c r="A38" s="109" t="s">
        <v>103</v>
      </c>
      <c r="B38" s="2073" t="s">
        <v>104</v>
      </c>
      <c r="C38" s="2093"/>
      <c r="D38" s="2093"/>
      <c r="E38" s="2080">
        <f t="shared" si="7"/>
        <v>112474733.162</v>
      </c>
      <c r="F38" s="2082"/>
      <c r="G38" s="2082"/>
      <c r="H38" s="2096">
        <f>H39+H40</f>
        <v>0</v>
      </c>
      <c r="I38" s="2089">
        <f>I39+I40</f>
        <v>112474733.162</v>
      </c>
      <c r="J38" s="2093"/>
      <c r="K38" s="2835"/>
      <c r="M38" s="2071"/>
      <c r="Y38" s="45">
        <f t="shared" si="6"/>
        <v>112474733.162</v>
      </c>
    </row>
    <row r="39" spans="1:25" ht="18" customHeight="1" x14ac:dyDescent="0.25">
      <c r="A39" s="107" t="s">
        <v>43</v>
      </c>
      <c r="B39" s="2074" t="s">
        <v>105</v>
      </c>
      <c r="C39" s="1679"/>
      <c r="D39" s="1679"/>
      <c r="E39" s="2084">
        <f>SUM(H39:I39)</f>
        <v>112474733.162</v>
      </c>
      <c r="F39" s="2086"/>
      <c r="G39" s="2086"/>
      <c r="H39" s="2097"/>
      <c r="I39" s="2098">
        <f>114809954.563-2335221.401</f>
        <v>112474733.162</v>
      </c>
      <c r="J39" s="2093"/>
      <c r="K39" s="2836"/>
      <c r="M39" s="278">
        <v>10967.620038999999</v>
      </c>
      <c r="Y39" s="45">
        <f t="shared" si="6"/>
        <v>112474733.162</v>
      </c>
    </row>
    <row r="40" spans="1:25" ht="18" customHeight="1" x14ac:dyDescent="0.25">
      <c r="A40" s="107" t="s">
        <v>44</v>
      </c>
      <c r="B40" s="2074" t="s">
        <v>106</v>
      </c>
      <c r="C40" s="1679"/>
      <c r="D40" s="1679"/>
      <c r="E40" s="2084"/>
      <c r="F40" s="2086"/>
      <c r="G40" s="2086"/>
      <c r="H40" s="2086"/>
      <c r="I40" s="2086"/>
      <c r="J40" s="2093"/>
      <c r="K40" s="2836"/>
      <c r="M40" s="2075">
        <f>M39-I39</f>
        <v>-112463765.541961</v>
      </c>
      <c r="Y40" s="45">
        <f t="shared" si="6"/>
        <v>0</v>
      </c>
    </row>
    <row r="41" spans="1:25" s="44" customFormat="1" ht="18" customHeight="1" x14ac:dyDescent="0.2">
      <c r="A41" s="106" t="s">
        <v>11</v>
      </c>
      <c r="B41" s="2076" t="s">
        <v>107</v>
      </c>
      <c r="C41" s="1790"/>
      <c r="D41" s="1790"/>
      <c r="E41" s="2099">
        <f t="shared" si="7"/>
        <v>0</v>
      </c>
      <c r="F41" s="2100"/>
      <c r="G41" s="2100"/>
      <c r="H41" s="2100"/>
      <c r="I41" s="2100"/>
      <c r="J41" s="1790"/>
      <c r="K41" s="2837"/>
      <c r="Y41" s="45">
        <f t="shared" si="6"/>
        <v>0</v>
      </c>
    </row>
    <row r="42" spans="1:25" s="44" customFormat="1" ht="18" customHeight="1" x14ac:dyDescent="0.25">
      <c r="A42" s="169" t="s">
        <v>45</v>
      </c>
      <c r="B42" s="247" t="s">
        <v>108</v>
      </c>
      <c r="C42" s="1654"/>
      <c r="D42" s="1654"/>
      <c r="E42" s="2101">
        <f>SUM(H42:I42)</f>
        <v>5270579.1229999997</v>
      </c>
      <c r="F42" s="2102"/>
      <c r="G42" s="2102"/>
      <c r="H42" s="2537"/>
      <c r="I42" s="2538">
        <v>5270579.1229999997</v>
      </c>
      <c r="J42" s="1654"/>
      <c r="K42" s="2833"/>
      <c r="M42" s="162">
        <v>23776753063</v>
      </c>
      <c r="N42" s="162">
        <v>18506173940</v>
      </c>
      <c r="O42" s="680">
        <f>M42-N42</f>
        <v>5270579123</v>
      </c>
      <c r="Y42" s="45">
        <f t="shared" si="6"/>
        <v>5270579.1229999997</v>
      </c>
    </row>
    <row r="43" spans="1:25" s="44" customFormat="1" ht="18" customHeight="1" x14ac:dyDescent="0.25">
      <c r="A43" s="169" t="s">
        <v>67</v>
      </c>
      <c r="B43" s="247" t="s">
        <v>109</v>
      </c>
      <c r="C43" s="1654"/>
      <c r="D43" s="1654"/>
      <c r="E43" s="2101">
        <f>SUM(H43:I43)</f>
        <v>474795.33199999999</v>
      </c>
      <c r="F43" s="2102"/>
      <c r="G43" s="2102"/>
      <c r="H43" s="2537"/>
      <c r="I43" s="2538">
        <v>474795.33199999999</v>
      </c>
      <c r="J43" s="1654"/>
      <c r="K43" s="2833"/>
      <c r="M43" s="162">
        <v>2563405923.0001001</v>
      </c>
      <c r="N43" s="162">
        <v>474795332</v>
      </c>
      <c r="Y43" s="45">
        <f t="shared" si="6"/>
        <v>474795.33199999999</v>
      </c>
    </row>
    <row r="44" spans="1:25" s="44" customFormat="1" ht="16.899999999999999" customHeight="1" x14ac:dyDescent="0.2">
      <c r="A44" s="169"/>
      <c r="B44" s="169" t="s">
        <v>95</v>
      </c>
      <c r="C44" s="1654"/>
      <c r="D44" s="1654"/>
      <c r="E44" s="2101">
        <f>SUM(E9,E35,E42,E43)</f>
        <v>444538597.27300006</v>
      </c>
      <c r="F44" s="2102">
        <f>SUM(F9,F35,F42,F43)</f>
        <v>889360.57799999998</v>
      </c>
      <c r="G44" s="2102">
        <f>SUM(G9,G35,G42,G43)</f>
        <v>66071999.324000008</v>
      </c>
      <c r="H44" s="2102">
        <f>SUM(H9,H35,H42,H43)</f>
        <v>0</v>
      </c>
      <c r="I44" s="2538">
        <f>SUM(I9,I35,I42,I43)</f>
        <v>377577237.37100005</v>
      </c>
      <c r="J44" s="2826"/>
      <c r="K44" s="2826"/>
      <c r="M44" s="177"/>
      <c r="N44" s="45"/>
      <c r="O44" s="45"/>
      <c r="P44" s="45"/>
      <c r="Y44" s="45">
        <f>I44+H44</f>
        <v>377577237.37100005</v>
      </c>
    </row>
    <row r="45" spans="1:25" ht="15" hidden="1" customHeight="1" x14ac:dyDescent="0.25">
      <c r="A45" s="204"/>
    </row>
    <row r="46" spans="1:25" ht="21.75" hidden="1" customHeight="1" x14ac:dyDescent="0.25">
      <c r="A46" s="3140" t="str">
        <f>'60_TT342'!A21:B21</f>
        <v>Ngày   27   tháng  3  năm 2026</v>
      </c>
      <c r="B46" s="3140"/>
      <c r="C46" s="3140"/>
      <c r="D46" s="3140"/>
      <c r="E46" s="3140"/>
      <c r="F46" s="2049"/>
      <c r="G46" s="3140" t="s">
        <v>2339</v>
      </c>
      <c r="H46" s="3140"/>
      <c r="I46" s="3140"/>
      <c r="J46" s="3140"/>
      <c r="K46" s="3140"/>
      <c r="L46" s="3140"/>
    </row>
    <row r="47" spans="1:25" ht="21.75" hidden="1" customHeight="1" x14ac:dyDescent="0.25">
      <c r="A47" s="3142" t="str">
        <f>'60_TT342'!A22</f>
        <v>PHÒNG GIAO DỊCH SỐ 4  KBNN KHU VỰC VII</v>
      </c>
      <c r="B47" s="3142"/>
      <c r="C47" s="3132" t="s">
        <v>1507</v>
      </c>
      <c r="D47" s="3132"/>
      <c r="E47" s="3132"/>
      <c r="F47" s="3132"/>
      <c r="G47" s="3132" t="s">
        <v>1372</v>
      </c>
      <c r="H47" s="3132"/>
      <c r="I47" s="3132"/>
      <c r="J47" s="3132"/>
      <c r="K47" s="3132"/>
      <c r="L47" s="3132"/>
    </row>
    <row r="48" spans="1:25" ht="33.75" hidden="1" customHeight="1" x14ac:dyDescent="0.25">
      <c r="A48" s="3132" t="str">
        <f>'60_TT342'!A24</f>
        <v>Kế toán                Kế toán trưởng          Giám đốc</v>
      </c>
      <c r="B48" s="3132"/>
      <c r="C48" s="3250" t="s">
        <v>1909</v>
      </c>
      <c r="D48" s="3250"/>
      <c r="E48" s="3250"/>
      <c r="F48" s="3250"/>
      <c r="G48" s="3132" t="s">
        <v>513</v>
      </c>
      <c r="H48" s="3132"/>
      <c r="I48" s="3132"/>
      <c r="J48" s="3132"/>
      <c r="K48" s="3132"/>
      <c r="L48" s="3132"/>
    </row>
    <row r="49" spans="1:13" ht="15.75" hidden="1" x14ac:dyDescent="0.25">
      <c r="A49" s="63"/>
      <c r="B49" s="63"/>
      <c r="C49" s="63"/>
      <c r="D49" s="63"/>
      <c r="E49" s="2050"/>
      <c r="F49" s="2050"/>
      <c r="G49" s="2050"/>
      <c r="H49" s="1359"/>
      <c r="I49" s="2051"/>
    </row>
    <row r="50" spans="1:13" ht="15.75" hidden="1" x14ac:dyDescent="0.25">
      <c r="A50" s="63"/>
      <c r="B50" s="63"/>
      <c r="C50" s="63"/>
      <c r="D50" s="63"/>
      <c r="E50" s="2050"/>
      <c r="F50" s="2050"/>
      <c r="G50" s="2050"/>
      <c r="H50" s="1359"/>
      <c r="I50" s="2051"/>
    </row>
    <row r="51" spans="1:13" ht="15.75" hidden="1" x14ac:dyDescent="0.25">
      <c r="C51" s="102"/>
      <c r="D51" s="102"/>
      <c r="E51" s="2050"/>
      <c r="F51" s="2050"/>
      <c r="G51" s="2050"/>
      <c r="H51" s="1359"/>
      <c r="I51" s="2051"/>
    </row>
    <row r="52" spans="1:13" ht="15.75" hidden="1" x14ac:dyDescent="0.25">
      <c r="C52" s="377"/>
      <c r="D52" s="377"/>
      <c r="E52" s="2052"/>
      <c r="F52" s="2053"/>
      <c r="G52" s="2053"/>
      <c r="H52" s="1359"/>
      <c r="I52" s="2051"/>
    </row>
    <row r="53" spans="1:13" ht="15.75" hidden="1" x14ac:dyDescent="0.25">
      <c r="C53" s="102"/>
      <c r="D53" s="102"/>
      <c r="E53" s="2050"/>
      <c r="F53" s="2050"/>
      <c r="G53" s="2050"/>
      <c r="H53" s="1359"/>
      <c r="I53" s="2051"/>
    </row>
    <row r="54" spans="1:13" ht="15.75" hidden="1" x14ac:dyDescent="0.25">
      <c r="C54" s="102"/>
      <c r="D54" s="102"/>
      <c r="E54" s="2050"/>
      <c r="F54" s="2050"/>
      <c r="G54" s="2050"/>
      <c r="H54" s="1359"/>
      <c r="I54" s="2051"/>
    </row>
    <row r="55" spans="1:13" ht="18.75" hidden="1" x14ac:dyDescent="0.3">
      <c r="C55" s="3121" t="s">
        <v>1386</v>
      </c>
      <c r="D55" s="3121"/>
      <c r="E55" s="3121"/>
      <c r="F55" s="3121"/>
      <c r="G55" s="3119" t="s">
        <v>1373</v>
      </c>
      <c r="H55" s="3119"/>
      <c r="I55" s="3119"/>
      <c r="J55" s="3119"/>
      <c r="K55" s="3119"/>
      <c r="L55" s="3119"/>
    </row>
    <row r="57" spans="1:13" x14ac:dyDescent="0.25">
      <c r="M57" s="174"/>
    </row>
    <row r="59" spans="1:13" ht="15.75" customHeight="1" x14ac:dyDescent="0.25"/>
  </sheetData>
  <mergeCells count="23">
    <mergeCell ref="R18:U22"/>
    <mergeCell ref="G55:L55"/>
    <mergeCell ref="J6:K6"/>
    <mergeCell ref="A48:B48"/>
    <mergeCell ref="A3:K3"/>
    <mergeCell ref="A4:K4"/>
    <mergeCell ref="A46:B46"/>
    <mergeCell ref="A47:B47"/>
    <mergeCell ref="A6:A7"/>
    <mergeCell ref="B6:B7"/>
    <mergeCell ref="C6:D6"/>
    <mergeCell ref="E6:E7"/>
    <mergeCell ref="F6:I6"/>
    <mergeCell ref="I5:K5"/>
    <mergeCell ref="G46:L46"/>
    <mergeCell ref="G47:L47"/>
    <mergeCell ref="I1:K1"/>
    <mergeCell ref="C55:F55"/>
    <mergeCell ref="G48:L48"/>
    <mergeCell ref="C46:E46"/>
    <mergeCell ref="C47:F47"/>
    <mergeCell ref="C48:F48"/>
    <mergeCell ref="A2:K2"/>
  </mergeCells>
  <printOptions horizontalCentered="1"/>
  <pageMargins left="0.48" right="0.35433070866141703" top="0.5" bottom="0.53" header="0.31496062992126" footer="0.31496062992126"/>
  <pageSetup paperSize="9" scale="87" firstPageNumber="35" orientation="landscape" useFirstPageNumber="1" r:id="rId1"/>
  <headerFooter>
    <oddFooter>&amp;C&amp;P</oddFooter>
  </headerFooter>
  <colBreaks count="1" manualBreakCount="1">
    <brk id="11"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39997558519241921"/>
  </sheetPr>
  <dimension ref="A1:R94"/>
  <sheetViews>
    <sheetView view="pageBreakPreview" topLeftCell="A63" zoomScale="80" zoomScaleNormal="90" zoomScaleSheetLayoutView="80" zoomScalePageLayoutView="85" workbookViewId="0">
      <selection activeCell="A84" sqref="A84:XFD93"/>
    </sheetView>
  </sheetViews>
  <sheetFormatPr defaultColWidth="8.85546875" defaultRowHeight="15" x14ac:dyDescent="0.25"/>
  <cols>
    <col min="1" max="1" width="7.28515625" style="36" customWidth="1"/>
    <col min="2" max="2" width="46.140625" style="36" customWidth="1"/>
    <col min="3" max="5" width="16.140625" style="36" customWidth="1"/>
    <col min="6" max="6" width="16.140625" style="229" customWidth="1"/>
    <col min="7" max="7" width="16.42578125" style="194" customWidth="1"/>
    <col min="8" max="9" width="8.140625" style="36" customWidth="1"/>
    <col min="10" max="10" width="28.7109375" style="36" hidden="1" customWidth="1"/>
    <col min="11" max="11" width="23.42578125" style="36" hidden="1" customWidth="1"/>
    <col min="12" max="12" width="20" style="36" hidden="1" customWidth="1"/>
    <col min="13" max="13" width="20.7109375" style="36" hidden="1" customWidth="1"/>
    <col min="14" max="14" width="18.85546875" style="36" hidden="1" customWidth="1"/>
    <col min="15" max="16" width="8.85546875" style="36" hidden="1" customWidth="1"/>
    <col min="17" max="17" width="29.85546875" style="36" hidden="1" customWidth="1"/>
    <col min="18" max="18" width="8.85546875" style="36" hidden="1" customWidth="1"/>
    <col min="19" max="16384" width="8.85546875" style="36"/>
  </cols>
  <sheetData>
    <row r="1" spans="1:12" ht="22.5" customHeight="1" x14ac:dyDescent="0.25">
      <c r="A1" s="242" t="str">
        <f>'48_NĐ31'!A1</f>
        <v xml:space="preserve">UBND PHƯỜNG BẮC KẠN </v>
      </c>
      <c r="G1" s="3141" t="s">
        <v>979</v>
      </c>
      <c r="H1" s="3141"/>
      <c r="I1" s="3141"/>
    </row>
    <row r="2" spans="1:12" s="1245" customFormat="1" ht="21" customHeight="1" x14ac:dyDescent="0.25">
      <c r="A2" s="3171" t="s">
        <v>1984</v>
      </c>
      <c r="B2" s="3171"/>
      <c r="C2" s="3171"/>
      <c r="D2" s="3171"/>
      <c r="E2" s="3171"/>
      <c r="F2" s="3171"/>
      <c r="G2" s="3171"/>
      <c r="H2" s="3171"/>
      <c r="I2" s="3171"/>
    </row>
    <row r="3" spans="1:12" s="1245" customFormat="1" ht="21" customHeight="1" x14ac:dyDescent="0.25">
      <c r="A3" s="3172" t="str">
        <f>'61_TT342'!A4:K4</f>
        <v>(Kèm theo Quyết định số          /QĐ-UBND ngày          /4/2026 của UBND phường Bắc Kạn)</v>
      </c>
      <c r="B3" s="3172"/>
      <c r="C3" s="3172"/>
      <c r="D3" s="3172"/>
      <c r="E3" s="3172"/>
      <c r="F3" s="3172"/>
      <c r="G3" s="3172"/>
      <c r="H3" s="3172"/>
      <c r="I3" s="3172"/>
    </row>
    <row r="4" spans="1:12" s="1451" customFormat="1" ht="21.75" customHeight="1" x14ac:dyDescent="0.25">
      <c r="B4" s="1451">
        <v>374473982.20900005</v>
      </c>
      <c r="C4" s="1452">
        <f>B4-C9</f>
        <v>0</v>
      </c>
      <c r="D4" s="1452"/>
      <c r="F4" s="1453"/>
      <c r="G4" s="3167" t="s">
        <v>1187</v>
      </c>
      <c r="H4" s="3167"/>
      <c r="I4" s="3167"/>
    </row>
    <row r="5" spans="1:12" s="44" customFormat="1" ht="33" customHeight="1" x14ac:dyDescent="0.2">
      <c r="A5" s="3134" t="s">
        <v>0</v>
      </c>
      <c r="B5" s="3134" t="s">
        <v>110</v>
      </c>
      <c r="C5" s="3134" t="s">
        <v>1382</v>
      </c>
      <c r="D5" s="3134"/>
      <c r="E5" s="3134" t="s">
        <v>1100</v>
      </c>
      <c r="F5" s="3134"/>
      <c r="G5" s="3134"/>
      <c r="H5" s="3134" t="s">
        <v>111</v>
      </c>
      <c r="I5" s="3134"/>
      <c r="K5" s="367"/>
      <c r="L5" s="545"/>
    </row>
    <row r="6" spans="1:12" s="44" customFormat="1" ht="24.75" customHeight="1" x14ac:dyDescent="0.2">
      <c r="A6" s="3134"/>
      <c r="B6" s="3134"/>
      <c r="C6" s="3136" t="s">
        <v>93</v>
      </c>
      <c r="D6" s="3136" t="s">
        <v>94</v>
      </c>
      <c r="E6" s="3136" t="s">
        <v>112</v>
      </c>
      <c r="F6" s="3258" t="s">
        <v>88</v>
      </c>
      <c r="G6" s="3259"/>
      <c r="H6" s="5"/>
      <c r="I6" s="5"/>
      <c r="K6" s="367"/>
      <c r="L6" s="545"/>
    </row>
    <row r="7" spans="1:12" s="44" customFormat="1" ht="68.25" customHeight="1" x14ac:dyDescent="0.2">
      <c r="A7" s="3134"/>
      <c r="B7" s="3134"/>
      <c r="C7" s="3137"/>
      <c r="D7" s="3137"/>
      <c r="E7" s="3137"/>
      <c r="F7" s="1832" t="s">
        <v>987</v>
      </c>
      <c r="G7" s="1833" t="s">
        <v>988</v>
      </c>
      <c r="H7" s="5" t="s">
        <v>93</v>
      </c>
      <c r="I7" s="5" t="s">
        <v>94</v>
      </c>
      <c r="J7" s="187"/>
      <c r="K7" s="290"/>
      <c r="L7" s="367"/>
    </row>
    <row r="8" spans="1:12" s="190" customFormat="1" ht="18.75" customHeight="1" x14ac:dyDescent="0.2">
      <c r="A8" s="130" t="s">
        <v>3</v>
      </c>
      <c r="B8" s="130" t="s">
        <v>4</v>
      </c>
      <c r="C8" s="130">
        <v>1</v>
      </c>
      <c r="D8" s="130">
        <v>2</v>
      </c>
      <c r="E8" s="130" t="s">
        <v>462</v>
      </c>
      <c r="F8" s="230">
        <v>4</v>
      </c>
      <c r="G8" s="231">
        <v>5</v>
      </c>
      <c r="H8" s="130" t="s">
        <v>543</v>
      </c>
      <c r="I8" s="130" t="s">
        <v>544</v>
      </c>
      <c r="J8" s="547"/>
      <c r="K8" s="224"/>
    </row>
    <row r="9" spans="1:12" s="44" customFormat="1" ht="18.75" customHeight="1" x14ac:dyDescent="0.2">
      <c r="A9" s="2103"/>
      <c r="B9" s="2103" t="s">
        <v>694</v>
      </c>
      <c r="C9" s="2104">
        <f>SUM(C10,C78,C83)</f>
        <v>374473982.20899999</v>
      </c>
      <c r="D9" s="2104">
        <f>SUM(D10,D78,D83)</f>
        <v>374473982.20899999</v>
      </c>
      <c r="E9" s="2817">
        <f>SUM(E10,E78,E83)</f>
        <v>374832535.13300002</v>
      </c>
      <c r="F9" s="2105">
        <f>SUM(F10,F78,F83)</f>
        <v>14888322.662999999</v>
      </c>
      <c r="G9" s="2104">
        <f>SUM(G10,G78,G83)</f>
        <v>359944212.46999997</v>
      </c>
      <c r="H9" s="2106">
        <f>E9/C9%</f>
        <v>100.09574842072738</v>
      </c>
      <c r="I9" s="2106">
        <f>E9/D9%</f>
        <v>100.09574842072738</v>
      </c>
      <c r="J9" s="313"/>
      <c r="K9" s="291"/>
      <c r="L9" s="290"/>
    </row>
    <row r="10" spans="1:12" s="44" customFormat="1" ht="18.75" customHeight="1" x14ac:dyDescent="0.2">
      <c r="A10" s="2103" t="s">
        <v>3</v>
      </c>
      <c r="B10" s="2107" t="s">
        <v>113</v>
      </c>
      <c r="C10" s="2104">
        <f>SUM(C11,C60,C77,C75,C76)</f>
        <v>374473982.20899999</v>
      </c>
      <c r="D10" s="2104">
        <f>SUM(D11,D60,D77,D75,D76)</f>
        <v>374473982.20899999</v>
      </c>
      <c r="E10" s="2104">
        <f>SUM(E11,E60,E77,E75,E76,E74)</f>
        <v>364321922.25300002</v>
      </c>
      <c r="F10" s="2104">
        <f>SUM(F11,F60,F77,F75,F76,F74)</f>
        <v>14888322.662999999</v>
      </c>
      <c r="G10" s="2104">
        <f>SUM(G11,G60,G77,G75,G76,G74)</f>
        <v>349433599.58999997</v>
      </c>
      <c r="H10" s="2818">
        <f>E10/C10%</f>
        <v>97.288981227450421</v>
      </c>
      <c r="I10" s="2818">
        <f>E10/D10%</f>
        <v>97.288981227450421</v>
      </c>
      <c r="J10" s="1056"/>
      <c r="K10" s="546"/>
      <c r="L10" s="290"/>
    </row>
    <row r="11" spans="1:12" s="44" customFormat="1" ht="18.75" customHeight="1" x14ac:dyDescent="0.2">
      <c r="A11" s="2103" t="s">
        <v>5</v>
      </c>
      <c r="B11" s="2107" t="s">
        <v>27</v>
      </c>
      <c r="C11" s="2104">
        <f>SUM(C44,C58,C59)</f>
        <v>23560000</v>
      </c>
      <c r="D11" s="2104">
        <f>SUM(D44,D58,D59)</f>
        <v>23560000</v>
      </c>
      <c r="E11" s="2104">
        <f>E12</f>
        <v>23185254.901000001</v>
      </c>
      <c r="F11" s="2104">
        <f t="shared" ref="F11:G11" si="0">F12</f>
        <v>1584717.0629999998</v>
      </c>
      <c r="G11" s="2104">
        <f t="shared" si="0"/>
        <v>21600537.838</v>
      </c>
      <c r="H11" s="2818">
        <f>E11/C11%</f>
        <v>98.409401107809856</v>
      </c>
      <c r="I11" s="2818">
        <f>E11/D11%</f>
        <v>98.409401107809856</v>
      </c>
      <c r="J11" s="259"/>
      <c r="K11" s="313"/>
      <c r="L11" s="290"/>
    </row>
    <row r="12" spans="1:12" s="44" customFormat="1" ht="34.5" customHeight="1" x14ac:dyDescent="0.2">
      <c r="A12" s="2108"/>
      <c r="B12" s="2109" t="s">
        <v>997</v>
      </c>
      <c r="C12" s="2110"/>
      <c r="D12" s="2110"/>
      <c r="E12" s="2110">
        <f>SUM(E13,E21,E24,E26,E29,E36)</f>
        <v>23185254.901000001</v>
      </c>
      <c r="F12" s="2110">
        <f>SUM(F13,F21,F24,F26,F29,F36)</f>
        <v>1584717.0629999998</v>
      </c>
      <c r="G12" s="2110">
        <f t="shared" ref="G12" si="1">SUM(G13,G21,G24,G26,G29,G36)</f>
        <v>21600537.838</v>
      </c>
      <c r="H12" s="2819"/>
      <c r="I12" s="2819"/>
      <c r="J12" s="259"/>
      <c r="K12" s="313"/>
      <c r="L12" s="290"/>
    </row>
    <row r="13" spans="1:12" s="44" customFormat="1" ht="19.5" customHeight="1" x14ac:dyDescent="0.2">
      <c r="A13" s="2111">
        <v>1</v>
      </c>
      <c r="B13" s="2112" t="s">
        <v>998</v>
      </c>
      <c r="C13" s="2113"/>
      <c r="D13" s="2113"/>
      <c r="E13" s="2113">
        <f>E14+E19</f>
        <v>11134061.702</v>
      </c>
      <c r="F13" s="2113">
        <f t="shared" ref="F13:G13" si="2">F14+F19</f>
        <v>896173.52</v>
      </c>
      <c r="G13" s="2113">
        <f t="shared" si="2"/>
        <v>10237888.182</v>
      </c>
      <c r="H13" s="2820"/>
      <c r="I13" s="2820"/>
      <c r="J13" s="259"/>
      <c r="K13" s="313"/>
      <c r="L13" s="290"/>
    </row>
    <row r="14" spans="1:12" s="44" customFormat="1" ht="19.5" customHeight="1" x14ac:dyDescent="0.2">
      <c r="A14" s="2115" t="s">
        <v>7</v>
      </c>
      <c r="B14" s="2116" t="s">
        <v>999</v>
      </c>
      <c r="C14" s="2113"/>
      <c r="D14" s="2113"/>
      <c r="E14" s="2113"/>
      <c r="F14" s="2117"/>
      <c r="G14" s="2118"/>
      <c r="H14" s="2820"/>
      <c r="I14" s="2820"/>
      <c r="J14" s="259"/>
      <c r="K14" s="313"/>
      <c r="L14" s="290"/>
    </row>
    <row r="15" spans="1:12" s="44" customFormat="1" ht="18.75" hidden="1" customHeight="1" x14ac:dyDescent="0.2">
      <c r="A15" s="2115" t="s">
        <v>1000</v>
      </c>
      <c r="B15" s="2116" t="s">
        <v>1001</v>
      </c>
      <c r="C15" s="2113"/>
      <c r="D15" s="2113"/>
      <c r="E15" s="2113"/>
      <c r="F15" s="2117"/>
      <c r="G15" s="2118"/>
      <c r="H15" s="2820"/>
      <c r="I15" s="2820"/>
      <c r="J15" s="259"/>
      <c r="K15" s="313"/>
      <c r="L15" s="290"/>
    </row>
    <row r="16" spans="1:12" s="44" customFormat="1" ht="18.75" hidden="1" customHeight="1" x14ac:dyDescent="0.2">
      <c r="A16" s="2115" t="s">
        <v>514</v>
      </c>
      <c r="B16" s="2116" t="s">
        <v>1002</v>
      </c>
      <c r="C16" s="2113"/>
      <c r="D16" s="2113"/>
      <c r="E16" s="2113"/>
      <c r="F16" s="2117"/>
      <c r="G16" s="2118"/>
      <c r="H16" s="2820"/>
      <c r="I16" s="2820"/>
      <c r="J16" s="259"/>
      <c r="K16" s="313"/>
      <c r="L16" s="290"/>
    </row>
    <row r="17" spans="1:12" s="44" customFormat="1" ht="18.75" hidden="1" customHeight="1" x14ac:dyDescent="0.2">
      <c r="A17" s="2115" t="s">
        <v>1000</v>
      </c>
      <c r="B17" s="2116" t="s">
        <v>1003</v>
      </c>
      <c r="C17" s="2113"/>
      <c r="D17" s="2113"/>
      <c r="E17" s="2113"/>
      <c r="F17" s="2117"/>
      <c r="G17" s="2118"/>
      <c r="H17" s="2820"/>
      <c r="I17" s="2820"/>
      <c r="J17" s="259"/>
      <c r="K17" s="313"/>
      <c r="L17" s="290"/>
    </row>
    <row r="18" spans="1:12" s="44" customFormat="1" ht="18.75" hidden="1" customHeight="1" x14ac:dyDescent="0.2">
      <c r="A18" s="2115"/>
      <c r="B18" s="2116" t="s">
        <v>1004</v>
      </c>
      <c r="C18" s="2113"/>
      <c r="D18" s="2113"/>
      <c r="E18" s="2113"/>
      <c r="F18" s="2117"/>
      <c r="G18" s="2118"/>
      <c r="H18" s="2820"/>
      <c r="I18" s="2820"/>
      <c r="J18" s="259"/>
      <c r="K18" s="313"/>
      <c r="L18" s="290"/>
    </row>
    <row r="19" spans="1:12" s="44" customFormat="1" ht="18.75" customHeight="1" x14ac:dyDescent="0.2">
      <c r="A19" s="2115" t="s">
        <v>38</v>
      </c>
      <c r="B19" s="2116" t="s">
        <v>502</v>
      </c>
      <c r="C19" s="2113"/>
      <c r="D19" s="2113"/>
      <c r="E19" s="2061">
        <f>F19+G19</f>
        <v>11134061.702</v>
      </c>
      <c r="F19" s="2060">
        <f>'62_NĐ31'!M24+'62_NĐ31'!M31</f>
        <v>896173.52</v>
      </c>
      <c r="G19" s="2119">
        <f>'62_NĐ31'!M13</f>
        <v>10237888.182</v>
      </c>
      <c r="H19" s="2820"/>
      <c r="I19" s="2820"/>
      <c r="J19" s="259"/>
      <c r="K19" s="313"/>
      <c r="L19" s="290"/>
    </row>
    <row r="20" spans="1:12" s="44" customFormat="1" ht="18.75" hidden="1" customHeight="1" x14ac:dyDescent="0.2">
      <c r="A20" s="2115"/>
      <c r="B20" s="2116"/>
      <c r="C20" s="2113"/>
      <c r="D20" s="2113"/>
      <c r="E20" s="2113"/>
      <c r="F20" s="2117"/>
      <c r="G20" s="2118"/>
      <c r="H20" s="2820"/>
      <c r="I20" s="2820"/>
      <c r="J20" s="259"/>
      <c r="K20" s="313"/>
      <c r="L20" s="290"/>
    </row>
    <row r="21" spans="1:12" s="44" customFormat="1" ht="19.5" customHeight="1" x14ac:dyDescent="0.2">
      <c r="A21" s="2120">
        <v>2</v>
      </c>
      <c r="B21" s="2121" t="s">
        <v>1005</v>
      </c>
      <c r="C21" s="2113"/>
      <c r="D21" s="2113"/>
      <c r="E21" s="2113">
        <f>E22+E23</f>
        <v>6764408.2249999996</v>
      </c>
      <c r="F21" s="2113">
        <f t="shared" ref="F21:G21" si="3">F22+F23</f>
        <v>442309.4</v>
      </c>
      <c r="G21" s="2113">
        <f t="shared" si="3"/>
        <v>6322098.8249999993</v>
      </c>
      <c r="H21" s="2820"/>
      <c r="I21" s="2820"/>
      <c r="J21" s="259"/>
      <c r="K21" s="313"/>
      <c r="L21" s="290"/>
    </row>
    <row r="22" spans="1:12" s="44" customFormat="1" ht="19.5" customHeight="1" x14ac:dyDescent="0.2">
      <c r="A22" s="2115" t="s">
        <v>43</v>
      </c>
      <c r="B22" s="2116" t="s">
        <v>1008</v>
      </c>
      <c r="C22" s="2113"/>
      <c r="D22" s="2113"/>
      <c r="E22" s="2059">
        <f>F22+G22</f>
        <v>0</v>
      </c>
      <c r="F22" s="2060"/>
      <c r="G22" s="2119"/>
      <c r="H22" s="2820"/>
      <c r="I22" s="2820"/>
      <c r="J22" s="259"/>
      <c r="K22" s="313"/>
      <c r="L22" s="290"/>
    </row>
    <row r="23" spans="1:12" s="44" customFormat="1" ht="19.5" customHeight="1" x14ac:dyDescent="0.2">
      <c r="A23" s="2115" t="s">
        <v>44</v>
      </c>
      <c r="B23" s="2116" t="s">
        <v>502</v>
      </c>
      <c r="C23" s="2113"/>
      <c r="D23" s="2113"/>
      <c r="E23" s="2061">
        <f>F23+G23</f>
        <v>6764408.2249999996</v>
      </c>
      <c r="F23" s="2060">
        <f>'62_NĐ31'!M33</f>
        <v>442309.4</v>
      </c>
      <c r="G23" s="2119">
        <f>'62_NĐ31'!M19</f>
        <v>6322098.8249999993</v>
      </c>
      <c r="H23" s="2820"/>
      <c r="I23" s="2820"/>
      <c r="J23" s="259"/>
      <c r="K23" s="313"/>
      <c r="L23" s="290"/>
    </row>
    <row r="24" spans="1:12" s="44" customFormat="1" ht="19.5" customHeight="1" x14ac:dyDescent="0.2">
      <c r="A24" s="2111">
        <v>3</v>
      </c>
      <c r="B24" s="2112" t="s">
        <v>1007</v>
      </c>
      <c r="C24" s="2113"/>
      <c r="D24" s="2113"/>
      <c r="E24" s="2113"/>
      <c r="F24" s="2117"/>
      <c r="G24" s="2118"/>
      <c r="H24" s="2820"/>
      <c r="I24" s="2820"/>
      <c r="J24" s="259"/>
      <c r="K24" s="313"/>
      <c r="L24" s="290"/>
    </row>
    <row r="25" spans="1:12" s="44" customFormat="1" ht="18" hidden="1" customHeight="1" x14ac:dyDescent="0.2">
      <c r="A25" s="2115"/>
      <c r="B25" s="2116" t="s">
        <v>1008</v>
      </c>
      <c r="C25" s="2113"/>
      <c r="D25" s="2113"/>
      <c r="E25" s="2113"/>
      <c r="F25" s="2117"/>
      <c r="G25" s="2118"/>
      <c r="H25" s="2820"/>
      <c r="I25" s="2820"/>
      <c r="J25" s="259"/>
      <c r="K25" s="313"/>
      <c r="L25" s="290"/>
    </row>
    <row r="26" spans="1:12" s="44" customFormat="1" ht="32.25" customHeight="1" x14ac:dyDescent="0.2">
      <c r="A26" s="2111">
        <v>4</v>
      </c>
      <c r="B26" s="2122" t="s">
        <v>1009</v>
      </c>
      <c r="C26" s="2113"/>
      <c r="D26" s="2113"/>
      <c r="E26" s="2113"/>
      <c r="F26" s="2117"/>
      <c r="G26" s="2118"/>
      <c r="H26" s="2820"/>
      <c r="I26" s="2820"/>
      <c r="J26" s="259"/>
      <c r="K26" s="313"/>
      <c r="L26" s="290"/>
    </row>
    <row r="27" spans="1:12" s="44" customFormat="1" ht="17.25" hidden="1" customHeight="1" x14ac:dyDescent="0.2">
      <c r="A27" s="2115" t="s">
        <v>605</v>
      </c>
      <c r="B27" s="2116" t="s">
        <v>1006</v>
      </c>
      <c r="C27" s="2113"/>
      <c r="D27" s="2113"/>
      <c r="E27" s="2113"/>
      <c r="F27" s="2117"/>
      <c r="G27" s="2118"/>
      <c r="H27" s="2820"/>
      <c r="I27" s="2820"/>
      <c r="J27" s="259"/>
      <c r="K27" s="313"/>
      <c r="L27" s="290"/>
    </row>
    <row r="28" spans="1:12" s="44" customFormat="1" ht="17.25" hidden="1" customHeight="1" x14ac:dyDescent="0.2">
      <c r="A28" s="2115" t="s">
        <v>606</v>
      </c>
      <c r="B28" s="2116" t="s">
        <v>502</v>
      </c>
      <c r="C28" s="2113"/>
      <c r="D28" s="2113"/>
      <c r="E28" s="2113"/>
      <c r="F28" s="2117"/>
      <c r="G28" s="2118"/>
      <c r="H28" s="2820"/>
      <c r="I28" s="2820"/>
      <c r="J28" s="259"/>
      <c r="K28" s="313"/>
      <c r="L28" s="290"/>
    </row>
    <row r="29" spans="1:12" s="140" customFormat="1" ht="31.5" customHeight="1" x14ac:dyDescent="0.25">
      <c r="A29" s="2111">
        <v>5</v>
      </c>
      <c r="B29" s="2112" t="s">
        <v>1010</v>
      </c>
      <c r="C29" s="2123"/>
      <c r="D29" s="2123"/>
      <c r="E29" s="2123">
        <f>E30+E33</f>
        <v>5000000</v>
      </c>
      <c r="F29" s="2124">
        <f t="shared" ref="F29:G29" si="4">F30+F33</f>
        <v>0</v>
      </c>
      <c r="G29" s="2123">
        <f t="shared" si="4"/>
        <v>5000000</v>
      </c>
      <c r="H29" s="2821"/>
      <c r="I29" s="2821"/>
      <c r="J29" s="2012"/>
      <c r="K29" s="2013"/>
      <c r="L29" s="1831"/>
    </row>
    <row r="30" spans="1:12" s="44" customFormat="1" ht="19.5" customHeight="1" x14ac:dyDescent="0.2">
      <c r="A30" s="2115" t="s">
        <v>1011</v>
      </c>
      <c r="B30" s="2116" t="s">
        <v>1006</v>
      </c>
      <c r="C30" s="2113"/>
      <c r="D30" s="2113"/>
      <c r="E30" s="2113"/>
      <c r="F30" s="2117"/>
      <c r="G30" s="2118"/>
      <c r="H30" s="2820"/>
      <c r="I30" s="2820"/>
      <c r="J30" s="259"/>
      <c r="K30" s="313"/>
      <c r="L30" s="290"/>
    </row>
    <row r="31" spans="1:12" s="44" customFormat="1" ht="18.75" hidden="1" customHeight="1" x14ac:dyDescent="0.2">
      <c r="A31" s="2115"/>
      <c r="B31" s="2116" t="s">
        <v>1012</v>
      </c>
      <c r="C31" s="2113"/>
      <c r="D31" s="2113"/>
      <c r="E31" s="2113"/>
      <c r="F31" s="2117"/>
      <c r="G31" s="2118"/>
      <c r="H31" s="2820"/>
      <c r="I31" s="2820"/>
      <c r="J31" s="259"/>
      <c r="K31" s="313"/>
      <c r="L31" s="290"/>
    </row>
    <row r="32" spans="1:12" s="44" customFormat="1" ht="18.75" hidden="1" customHeight="1" x14ac:dyDescent="0.2">
      <c r="A32" s="2115"/>
      <c r="B32" s="2116" t="s">
        <v>1004</v>
      </c>
      <c r="C32" s="2113"/>
      <c r="D32" s="2113"/>
      <c r="E32" s="2113"/>
      <c r="F32" s="2117"/>
      <c r="G32" s="2118"/>
      <c r="H32" s="2820"/>
      <c r="I32" s="2820"/>
      <c r="J32" s="259"/>
      <c r="K32" s="313"/>
      <c r="L32" s="290"/>
    </row>
    <row r="33" spans="1:12" s="44" customFormat="1" ht="19.5" customHeight="1" x14ac:dyDescent="0.2">
      <c r="A33" s="2115" t="s">
        <v>1013</v>
      </c>
      <c r="B33" s="2116" t="s">
        <v>502</v>
      </c>
      <c r="C33" s="2113"/>
      <c r="D33" s="2113"/>
      <c r="E33" s="2061">
        <f>F33+G33</f>
        <v>5000000</v>
      </c>
      <c r="F33" s="2060"/>
      <c r="G33" s="2119">
        <v>5000000</v>
      </c>
      <c r="H33" s="2820"/>
      <c r="I33" s="2820"/>
      <c r="J33" s="259"/>
      <c r="K33" s="313"/>
      <c r="L33" s="290"/>
    </row>
    <row r="34" spans="1:12" s="44" customFormat="1" ht="18.75" hidden="1" customHeight="1" x14ac:dyDescent="0.2">
      <c r="A34" s="2115"/>
      <c r="B34" s="2116" t="s">
        <v>1014</v>
      </c>
      <c r="C34" s="2113"/>
      <c r="D34" s="2113"/>
      <c r="E34" s="2113"/>
      <c r="F34" s="2117"/>
      <c r="G34" s="2118"/>
      <c r="H34" s="2820"/>
      <c r="I34" s="2820"/>
      <c r="J34" s="259"/>
      <c r="K34" s="313"/>
      <c r="L34" s="290"/>
    </row>
    <row r="35" spans="1:12" s="44" customFormat="1" ht="18.75" hidden="1" customHeight="1" x14ac:dyDescent="0.2">
      <c r="A35" s="2115"/>
      <c r="B35" s="2116" t="s">
        <v>1004</v>
      </c>
      <c r="C35" s="2113"/>
      <c r="D35" s="2113"/>
      <c r="E35" s="2113"/>
      <c r="F35" s="2117"/>
      <c r="G35" s="2118"/>
      <c r="H35" s="2820"/>
      <c r="I35" s="2820"/>
      <c r="J35" s="259"/>
      <c r="K35" s="313"/>
      <c r="L35" s="290"/>
    </row>
    <row r="36" spans="1:12" s="140" customFormat="1" ht="51" customHeight="1" x14ac:dyDescent="0.25">
      <c r="A36" s="2111">
        <v>6</v>
      </c>
      <c r="B36" s="2122" t="s">
        <v>1015</v>
      </c>
      <c r="C36" s="2123"/>
      <c r="D36" s="2123"/>
      <c r="E36" s="2123">
        <f>E37+E41+E42</f>
        <v>286784.97399999999</v>
      </c>
      <c r="F36" s="2123">
        <f t="shared" ref="F36:G36" si="5">F37+F41+F42</f>
        <v>246234.14300000001</v>
      </c>
      <c r="G36" s="2123">
        <f t="shared" si="5"/>
        <v>40550.830999999998</v>
      </c>
      <c r="H36" s="2821"/>
      <c r="I36" s="2821"/>
      <c r="J36" s="2012"/>
      <c r="K36" s="2013"/>
      <c r="L36" s="1831"/>
    </row>
    <row r="37" spans="1:12" ht="20.25" customHeight="1" x14ac:dyDescent="0.25">
      <c r="A37" s="2115" t="s">
        <v>613</v>
      </c>
      <c r="B37" s="2125" t="s">
        <v>1016</v>
      </c>
      <c r="C37" s="2061"/>
      <c r="D37" s="2061"/>
      <c r="E37" s="2061">
        <f>SUM(E38:E40)</f>
        <v>286784.97399999999</v>
      </c>
      <c r="F37" s="2061">
        <f t="shared" ref="F37:G37" si="6">SUM(F38:F40)</f>
        <v>246234.14300000001</v>
      </c>
      <c r="G37" s="2061">
        <f t="shared" si="6"/>
        <v>40550.830999999998</v>
      </c>
      <c r="H37" s="2822"/>
      <c r="I37" s="2822"/>
      <c r="J37" s="505"/>
      <c r="K37" s="314"/>
      <c r="L37" s="288"/>
    </row>
    <row r="38" spans="1:12" ht="20.25" customHeight="1" x14ac:dyDescent="0.25">
      <c r="A38" s="2115"/>
      <c r="B38" s="2125" t="s">
        <v>679</v>
      </c>
      <c r="C38" s="2061"/>
      <c r="D38" s="2061"/>
      <c r="E38" s="2059">
        <f>F38+G38</f>
        <v>0</v>
      </c>
      <c r="F38" s="2060"/>
      <c r="G38" s="2119"/>
      <c r="H38" s="2822"/>
      <c r="I38" s="2822"/>
      <c r="J38" s="505"/>
      <c r="K38" s="314"/>
      <c r="L38" s="288"/>
    </row>
    <row r="39" spans="1:12" ht="20.25" customHeight="1" x14ac:dyDescent="0.25">
      <c r="A39" s="2115"/>
      <c r="B39" s="2125" t="s">
        <v>1017</v>
      </c>
      <c r="C39" s="2061"/>
      <c r="D39" s="2061"/>
      <c r="E39" s="2061">
        <f t="shared" ref="E39:E40" si="7">F39+G39</f>
        <v>286784.97399999999</v>
      </c>
      <c r="F39" s="2062">
        <f>'51_NĐ31'!D48</f>
        <v>246234.14300000001</v>
      </c>
      <c r="G39" s="2127">
        <f>'51_NĐ31'!D49</f>
        <v>40550.830999999998</v>
      </c>
      <c r="H39" s="2822"/>
      <c r="I39" s="2822"/>
      <c r="J39" s="2001"/>
      <c r="K39" s="2002"/>
      <c r="L39" s="289"/>
    </row>
    <row r="40" spans="1:12" ht="36" customHeight="1" x14ac:dyDescent="0.25">
      <c r="A40" s="2115"/>
      <c r="B40" s="2125" t="s">
        <v>1018</v>
      </c>
      <c r="C40" s="2061"/>
      <c r="D40" s="2061"/>
      <c r="E40" s="2059">
        <f t="shared" si="7"/>
        <v>0</v>
      </c>
      <c r="F40" s="2060"/>
      <c r="G40" s="2119"/>
      <c r="H40" s="2822"/>
      <c r="I40" s="2822"/>
      <c r="J40" s="505"/>
      <c r="K40" s="314"/>
      <c r="L40" s="288"/>
    </row>
    <row r="41" spans="1:12" s="44" customFormat="1" ht="33.75" customHeight="1" x14ac:dyDescent="0.2">
      <c r="A41" s="2115" t="s">
        <v>614</v>
      </c>
      <c r="B41" s="2125" t="s">
        <v>1019</v>
      </c>
      <c r="C41" s="2113"/>
      <c r="D41" s="2113"/>
      <c r="E41" s="2113"/>
      <c r="F41" s="2117"/>
      <c r="G41" s="2118"/>
      <c r="H41" s="2820"/>
      <c r="I41" s="2820"/>
      <c r="J41" s="259"/>
      <c r="K41" s="313"/>
      <c r="L41" s="290"/>
    </row>
    <row r="42" spans="1:12" s="44" customFormat="1" ht="33.75" customHeight="1" x14ac:dyDescent="0.2">
      <c r="A42" s="2115" t="s">
        <v>1020</v>
      </c>
      <c r="B42" s="2125" t="s">
        <v>1021</v>
      </c>
      <c r="C42" s="2113"/>
      <c r="D42" s="2113"/>
      <c r="E42" s="2113"/>
      <c r="F42" s="2117"/>
      <c r="G42" s="2118"/>
      <c r="H42" s="2820"/>
      <c r="I42" s="2820"/>
      <c r="J42" s="259"/>
      <c r="K42" s="313"/>
      <c r="L42" s="290"/>
    </row>
    <row r="43" spans="1:12" s="44" customFormat="1" ht="18.75" hidden="1" customHeight="1" x14ac:dyDescent="0.2">
      <c r="A43" s="2115"/>
      <c r="B43" s="2116" t="s">
        <v>1004</v>
      </c>
      <c r="C43" s="2113"/>
      <c r="D43" s="2113"/>
      <c r="E43" s="2113"/>
      <c r="F43" s="2117"/>
      <c r="G43" s="2118"/>
      <c r="H43" s="2820"/>
      <c r="I43" s="2820"/>
      <c r="J43" s="259"/>
      <c r="K43" s="313"/>
      <c r="L43" s="290"/>
    </row>
    <row r="44" spans="1:12" s="140" customFormat="1" ht="33.75" customHeight="1" x14ac:dyDescent="0.25">
      <c r="A44" s="2128"/>
      <c r="B44" s="2129" t="s">
        <v>1022</v>
      </c>
      <c r="C44" s="2123">
        <v>23560000</v>
      </c>
      <c r="D44" s="2123">
        <f>'48_NĐ31'!D22</f>
        <v>23560000</v>
      </c>
      <c r="E44" s="2123">
        <f>SUM(E47,E54,E59)</f>
        <v>23185254.901000001</v>
      </c>
      <c r="F44" s="2123">
        <f t="shared" ref="F44:G44" si="8">SUM(F47,F54,F59)</f>
        <v>1584717.0630000001</v>
      </c>
      <c r="G44" s="2123">
        <f t="shared" si="8"/>
        <v>21600537.838</v>
      </c>
      <c r="H44" s="2821">
        <f>E44/C44%</f>
        <v>98.409401107809856</v>
      </c>
      <c r="I44" s="2821">
        <f>E44/D44%</f>
        <v>98.409401107809856</v>
      </c>
      <c r="J44" s="1829"/>
      <c r="K44" s="1830"/>
      <c r="L44" s="1831"/>
    </row>
    <row r="45" spans="1:12" ht="19.5" customHeight="1" x14ac:dyDescent="0.25">
      <c r="A45" s="2130" t="s">
        <v>7</v>
      </c>
      <c r="B45" s="1590" t="s">
        <v>71</v>
      </c>
      <c r="C45" s="2061"/>
      <c r="D45" s="2059">
        <v>0</v>
      </c>
      <c r="E45" s="2059">
        <f>SUM(F45:G45)</f>
        <v>0</v>
      </c>
      <c r="F45" s="2059">
        <f>'55_NĐ31'!F9</f>
        <v>0</v>
      </c>
      <c r="G45" s="2131"/>
      <c r="H45" s="2822"/>
      <c r="I45" s="2822"/>
      <c r="J45" s="294"/>
      <c r="K45" s="306"/>
      <c r="L45" s="288"/>
    </row>
    <row r="46" spans="1:12" ht="19.5" customHeight="1" x14ac:dyDescent="0.25">
      <c r="A46" s="2130" t="s">
        <v>38</v>
      </c>
      <c r="B46" s="1590" t="s">
        <v>80</v>
      </c>
      <c r="C46" s="2061"/>
      <c r="D46" s="2059">
        <v>0</v>
      </c>
      <c r="E46" s="2059">
        <f>SUM(F46:G46)</f>
        <v>0</v>
      </c>
      <c r="F46" s="2059">
        <f>'55_NĐ31'!G9</f>
        <v>0</v>
      </c>
      <c r="G46" s="2131"/>
      <c r="H46" s="2822"/>
      <c r="I46" s="2822"/>
      <c r="K46" s="306"/>
      <c r="L46" s="288"/>
    </row>
    <row r="47" spans="1:12" ht="19.5" customHeight="1" x14ac:dyDescent="0.25">
      <c r="A47" s="2130" t="s">
        <v>39</v>
      </c>
      <c r="B47" s="1590" t="s">
        <v>114</v>
      </c>
      <c r="C47" s="2061"/>
      <c r="D47" s="2132"/>
      <c r="E47" s="2132">
        <f t="shared" ref="E47:E59" si="9">SUM(F47:G47)</f>
        <v>5933938.3969999999</v>
      </c>
      <c r="F47" s="2132">
        <f>'62.1'!AG14</f>
        <v>411067.52</v>
      </c>
      <c r="G47" s="2131">
        <f>'62.1'!AH14</f>
        <v>5522870.8770000003</v>
      </c>
      <c r="H47" s="2822"/>
      <c r="I47" s="2822"/>
      <c r="K47" s="306"/>
      <c r="L47" s="288"/>
    </row>
    <row r="48" spans="1:12" ht="19.5" customHeight="1" x14ac:dyDescent="0.25">
      <c r="A48" s="2130" t="s">
        <v>40</v>
      </c>
      <c r="B48" s="1590" t="s">
        <v>115</v>
      </c>
      <c r="C48" s="2061"/>
      <c r="D48" s="2132"/>
      <c r="E48" s="2132"/>
      <c r="F48" s="2132"/>
      <c r="G48" s="2131"/>
      <c r="H48" s="2822"/>
      <c r="I48" s="2822"/>
      <c r="K48" s="306"/>
      <c r="L48" s="275"/>
    </row>
    <row r="49" spans="1:17" ht="19.5" customHeight="1" x14ac:dyDescent="0.25">
      <c r="A49" s="2130" t="s">
        <v>41</v>
      </c>
      <c r="B49" s="1590" t="s">
        <v>116</v>
      </c>
      <c r="C49" s="2061"/>
      <c r="D49" s="2059">
        <v>0</v>
      </c>
      <c r="E49" s="2059">
        <f t="shared" si="9"/>
        <v>0</v>
      </c>
      <c r="F49" s="2059">
        <f>'55_NĐ31'!H9</f>
        <v>0</v>
      </c>
      <c r="G49" s="2131"/>
      <c r="H49" s="2822"/>
      <c r="I49" s="2822"/>
      <c r="K49" s="306"/>
    </row>
    <row r="50" spans="1:17" ht="19.5" customHeight="1" x14ac:dyDescent="0.25">
      <c r="A50" s="2130" t="s">
        <v>42</v>
      </c>
      <c r="B50" s="1590" t="s">
        <v>117</v>
      </c>
      <c r="C50" s="2061"/>
      <c r="D50" s="2059">
        <v>0</v>
      </c>
      <c r="E50" s="2059">
        <f t="shared" si="9"/>
        <v>0</v>
      </c>
      <c r="F50" s="2059">
        <f>'55_NĐ31'!I9</f>
        <v>0</v>
      </c>
      <c r="G50" s="2131"/>
      <c r="H50" s="2822"/>
      <c r="I50" s="2822"/>
      <c r="K50" s="298"/>
    </row>
    <row r="51" spans="1:17" ht="19.5" customHeight="1" x14ac:dyDescent="0.25">
      <c r="A51" s="2130" t="s">
        <v>118</v>
      </c>
      <c r="B51" s="1590" t="s">
        <v>119</v>
      </c>
      <c r="C51" s="2061"/>
      <c r="D51" s="2059"/>
      <c r="E51" s="2059"/>
      <c r="F51" s="2059"/>
      <c r="G51" s="2131"/>
      <c r="H51" s="2822"/>
      <c r="I51" s="2822"/>
      <c r="K51" s="297"/>
    </row>
    <row r="52" spans="1:17" ht="19.5" customHeight="1" x14ac:dyDescent="0.25">
      <c r="A52" s="2130" t="s">
        <v>120</v>
      </c>
      <c r="B52" s="1590" t="s">
        <v>121</v>
      </c>
      <c r="C52" s="2061"/>
      <c r="D52" s="2059">
        <v>0</v>
      </c>
      <c r="E52" s="2059">
        <f t="shared" si="9"/>
        <v>0</v>
      </c>
      <c r="F52" s="2059">
        <f>'55_NĐ31'!K9</f>
        <v>0</v>
      </c>
      <c r="G52" s="2131"/>
      <c r="H52" s="2822"/>
      <c r="I52" s="2822"/>
    </row>
    <row r="53" spans="1:17" ht="19.5" customHeight="1" x14ac:dyDescent="0.25">
      <c r="A53" s="2130" t="s">
        <v>122</v>
      </c>
      <c r="B53" s="1590" t="s">
        <v>123</v>
      </c>
      <c r="C53" s="2061"/>
      <c r="D53" s="2059">
        <v>0</v>
      </c>
      <c r="E53" s="2059">
        <f t="shared" si="9"/>
        <v>0</v>
      </c>
      <c r="F53" s="2059">
        <f>'55_NĐ31'!L9</f>
        <v>0</v>
      </c>
      <c r="G53" s="2131"/>
      <c r="H53" s="2822"/>
      <c r="I53" s="2822"/>
    </row>
    <row r="54" spans="1:17" ht="19.5" customHeight="1" x14ac:dyDescent="0.25">
      <c r="A54" s="2130" t="s">
        <v>124</v>
      </c>
      <c r="B54" s="1590" t="s">
        <v>82</v>
      </c>
      <c r="C54" s="2061"/>
      <c r="D54" s="2132"/>
      <c r="E54" s="2132">
        <f t="shared" si="9"/>
        <v>17251316.504000001</v>
      </c>
      <c r="F54" s="2131">
        <f>'62.1'!AG15</f>
        <v>1173649.5430000001</v>
      </c>
      <c r="G54" s="2816">
        <f>'62.1'!AH15</f>
        <v>16077666.960999999</v>
      </c>
      <c r="H54" s="2822"/>
      <c r="I54" s="2822"/>
      <c r="J54" s="294"/>
      <c r="K54" s="294"/>
      <c r="L54" s="233"/>
    </row>
    <row r="55" spans="1:17" ht="35.25" customHeight="1" x14ac:dyDescent="0.25">
      <c r="A55" s="2130" t="s">
        <v>125</v>
      </c>
      <c r="B55" s="1590" t="s">
        <v>32</v>
      </c>
      <c r="C55" s="2061"/>
      <c r="D55" s="2059"/>
      <c r="E55" s="2059">
        <f t="shared" si="9"/>
        <v>0</v>
      </c>
      <c r="F55" s="2063">
        <f>'55_NĐ31'!P9</f>
        <v>0</v>
      </c>
      <c r="G55" s="2063"/>
      <c r="H55" s="2822"/>
      <c r="I55" s="2822"/>
      <c r="J55" s="294"/>
      <c r="K55" s="305"/>
      <c r="L55" s="298"/>
      <c r="M55" s="298"/>
    </row>
    <row r="56" spans="1:17" ht="19.5" customHeight="1" x14ac:dyDescent="0.25">
      <c r="A56" s="2130" t="s">
        <v>126</v>
      </c>
      <c r="B56" s="1590" t="s">
        <v>127</v>
      </c>
      <c r="C56" s="2061"/>
      <c r="D56" s="2059">
        <v>0</v>
      </c>
      <c r="E56" s="2059">
        <f t="shared" si="9"/>
        <v>0</v>
      </c>
      <c r="F56" s="2059">
        <f>'55_NĐ31'!Q9</f>
        <v>0</v>
      </c>
      <c r="G56" s="2063">
        <v>0</v>
      </c>
      <c r="H56" s="2822"/>
      <c r="I56" s="2822"/>
      <c r="J56" s="294"/>
      <c r="K56" s="288"/>
      <c r="L56" s="294"/>
    </row>
    <row r="57" spans="1:17" ht="19.5" customHeight="1" x14ac:dyDescent="0.25">
      <c r="A57" s="2133" t="s">
        <v>128</v>
      </c>
      <c r="B57" s="2134" t="s">
        <v>591</v>
      </c>
      <c r="C57" s="2135"/>
      <c r="D57" s="2136"/>
      <c r="E57" s="2136">
        <f t="shared" si="9"/>
        <v>0</v>
      </c>
      <c r="F57" s="2136"/>
      <c r="G57" s="2137"/>
      <c r="H57" s="2823"/>
      <c r="I57" s="2823"/>
      <c r="J57" s="302"/>
      <c r="K57" s="314"/>
      <c r="M57" s="290"/>
    </row>
    <row r="58" spans="1:17" s="44" customFormat="1" ht="28.5" x14ac:dyDescent="0.2">
      <c r="A58" s="2139">
        <v>2</v>
      </c>
      <c r="B58" s="2140" t="s">
        <v>129</v>
      </c>
      <c r="C58" s="2141"/>
      <c r="D58" s="2142"/>
      <c r="E58" s="2057">
        <f t="shared" si="9"/>
        <v>0</v>
      </c>
      <c r="F58" s="2142"/>
      <c r="G58" s="2143"/>
      <c r="H58" s="2144"/>
      <c r="I58" s="2144"/>
      <c r="J58" s="1058"/>
      <c r="K58" s="1059"/>
      <c r="N58" s="296"/>
    </row>
    <row r="59" spans="1:17" s="44" customFormat="1" ht="19.5" customHeight="1" x14ac:dyDescent="0.2">
      <c r="A59" s="2145">
        <v>3</v>
      </c>
      <c r="B59" s="2146" t="s">
        <v>25</v>
      </c>
      <c r="C59" s="2147"/>
      <c r="D59" s="2147"/>
      <c r="E59" s="2211">
        <f t="shared" si="9"/>
        <v>0</v>
      </c>
      <c r="F59" s="2325"/>
      <c r="G59" s="2326">
        <f>'51_NĐ31'!D18</f>
        <v>0</v>
      </c>
      <c r="H59" s="2148"/>
      <c r="I59" s="2148"/>
      <c r="J59" s="827"/>
      <c r="K59" s="1060"/>
      <c r="N59" s="290"/>
    </row>
    <row r="60" spans="1:17" s="44" customFormat="1" ht="19.5" customHeight="1" x14ac:dyDescent="0.25">
      <c r="A60" s="2103" t="s">
        <v>11</v>
      </c>
      <c r="B60" s="2107" t="s">
        <v>28</v>
      </c>
      <c r="C60" s="2104">
        <f>'48_NĐ31'!D23+'48_NĐ31'!D29</f>
        <v>343309982.20899999</v>
      </c>
      <c r="D60" s="2104">
        <f>SUM(D61:D73)</f>
        <v>227368995.99599999</v>
      </c>
      <c r="E60" s="2104">
        <f>SUM(E61:E73)</f>
        <v>304227425.64499998</v>
      </c>
      <c r="F60" s="2104">
        <f>SUM(F61:F73)</f>
        <v>13303605.6</v>
      </c>
      <c r="G60" s="2104">
        <f>SUM(G61:G73)</f>
        <v>290923820.04499996</v>
      </c>
      <c r="H60" s="2149">
        <f t="shared" ref="H60" si="10">SUM(H61:H73)</f>
        <v>123.08700071334748</v>
      </c>
      <c r="I60" s="2150">
        <f t="shared" ref="I60:I72" si="11">E60/D60</f>
        <v>1.3380339052486827</v>
      </c>
      <c r="J60" s="1061"/>
      <c r="K60" s="1062"/>
      <c r="L60" s="548"/>
      <c r="N60" s="288"/>
      <c r="Q60" s="45"/>
    </row>
    <row r="61" spans="1:17" ht="19.5" customHeight="1" x14ac:dyDescent="0.25">
      <c r="A61" s="2151">
        <v>1</v>
      </c>
      <c r="B61" s="2152" t="s">
        <v>71</v>
      </c>
      <c r="C61" s="2153"/>
      <c r="D61" s="2153">
        <f>'52_NĐ31'!C30</f>
        <v>4389834.87</v>
      </c>
      <c r="E61" s="2153">
        <f>SUM(F61:G61)</f>
        <v>4970667.13</v>
      </c>
      <c r="F61" s="2153"/>
      <c r="G61" s="2154">
        <f>'56_NĐ31'!F11</f>
        <v>4970667.13</v>
      </c>
      <c r="H61" s="2155"/>
      <c r="I61" s="2156">
        <f t="shared" si="11"/>
        <v>1.1323130088490094</v>
      </c>
      <c r="J61" s="1063"/>
      <c r="K61" s="1064"/>
      <c r="N61" s="293"/>
    </row>
    <row r="62" spans="1:17" ht="19.5" customHeight="1" x14ac:dyDescent="0.25">
      <c r="A62" s="2130">
        <v>2</v>
      </c>
      <c r="B62" s="1590" t="s">
        <v>80</v>
      </c>
      <c r="C62" s="2061"/>
      <c r="D62" s="2061">
        <f>'52_NĐ31'!C31</f>
        <v>1972059.6</v>
      </c>
      <c r="E62" s="2061">
        <f>SUM(F62:G62)</f>
        <v>1370667.41</v>
      </c>
      <c r="F62" s="2061"/>
      <c r="G62" s="2119">
        <f>'56_NĐ31'!G9</f>
        <v>1370667.41</v>
      </c>
      <c r="H62" s="2126"/>
      <c r="I62" s="2157">
        <f t="shared" si="11"/>
        <v>0.6950436031446513</v>
      </c>
      <c r="J62" s="1063"/>
      <c r="K62" s="1064"/>
      <c r="N62" s="288"/>
    </row>
    <row r="63" spans="1:17" ht="19.5" customHeight="1" x14ac:dyDescent="0.25">
      <c r="A63" s="2130">
        <v>3</v>
      </c>
      <c r="B63" s="1590" t="s">
        <v>114</v>
      </c>
      <c r="C63" s="2061">
        <v>88686524.915999994</v>
      </c>
      <c r="D63" s="2061">
        <f>'52_NĐ31'!C32</f>
        <v>88686524.915999994</v>
      </c>
      <c r="E63" s="2061">
        <f>SUM(F63:G63)</f>
        <v>109161583.55599999</v>
      </c>
      <c r="F63" s="2061">
        <v>12945086</v>
      </c>
      <c r="G63" s="2119">
        <f>'56_NĐ31'!E9-12945086</f>
        <v>96216497.555999994</v>
      </c>
      <c r="H63" s="2126">
        <f>E63/C63%</f>
        <v>123.08700071334748</v>
      </c>
      <c r="I63" s="2157">
        <f t="shared" si="11"/>
        <v>1.2308700071334746</v>
      </c>
      <c r="J63" s="289"/>
      <c r="K63" s="1057"/>
      <c r="L63" s="505"/>
      <c r="M63" s="294"/>
      <c r="N63" s="288"/>
    </row>
    <row r="64" spans="1:17" ht="19.5" customHeight="1" x14ac:dyDescent="0.25">
      <c r="A64" s="2130">
        <v>4</v>
      </c>
      <c r="B64" s="1590" t="s">
        <v>116</v>
      </c>
      <c r="C64" s="2061"/>
      <c r="D64" s="2061">
        <f>'52_NĐ31'!C33</f>
        <v>1399985.2</v>
      </c>
      <c r="E64" s="2061">
        <f t="shared" ref="E64:E75" si="12">SUM(F64:G64)</f>
        <v>1274291</v>
      </c>
      <c r="F64" s="2061"/>
      <c r="G64" s="2119">
        <f>'56_NĐ31'!H9</f>
        <v>1274291</v>
      </c>
      <c r="H64" s="2126"/>
      <c r="I64" s="2157">
        <f t="shared" si="11"/>
        <v>0.91021747944192555</v>
      </c>
      <c r="J64" s="288"/>
      <c r="K64" s="1057"/>
      <c r="L64" s="505"/>
      <c r="M64" s="294"/>
      <c r="Q64" s="298">
        <v>195.55546000000001</v>
      </c>
    </row>
    <row r="65" spans="1:17" ht="19.5" customHeight="1" x14ac:dyDescent="0.25">
      <c r="A65" s="2130">
        <v>5</v>
      </c>
      <c r="B65" s="1590" t="s">
        <v>665</v>
      </c>
      <c r="C65" s="2061"/>
      <c r="D65" s="2061">
        <f>'52_NĐ31'!C34</f>
        <v>3227596.7489999998</v>
      </c>
      <c r="E65" s="2061">
        <f>SUM(F65:G65)</f>
        <v>4185579.4589999998</v>
      </c>
      <c r="F65" s="2061">
        <f>1650.2</f>
        <v>1650.2</v>
      </c>
      <c r="G65" s="2119">
        <f>'56_NĐ31'!I9-1650.2</f>
        <v>4183929.2589999996</v>
      </c>
      <c r="H65" s="2126"/>
      <c r="I65" s="2157">
        <f t="shared" si="11"/>
        <v>1.2968099129164168</v>
      </c>
      <c r="J65" s="288"/>
      <c r="K65" s="433"/>
      <c r="L65" s="505"/>
      <c r="M65" s="294"/>
    </row>
    <row r="66" spans="1:17" ht="19.5" customHeight="1" x14ac:dyDescent="0.25">
      <c r="A66" s="2130">
        <v>6</v>
      </c>
      <c r="B66" s="1590" t="s">
        <v>119</v>
      </c>
      <c r="C66" s="2061"/>
      <c r="D66" s="2061">
        <f>'52_NĐ31'!C35</f>
        <v>136846.6</v>
      </c>
      <c r="E66" s="2061">
        <f t="shared" si="12"/>
        <v>136798.6</v>
      </c>
      <c r="F66" s="2061"/>
      <c r="G66" s="2119">
        <v>136798.6</v>
      </c>
      <c r="H66" s="2126"/>
      <c r="I66" s="2157">
        <f t="shared" si="11"/>
        <v>0.99964924229027241</v>
      </c>
      <c r="J66" s="288"/>
      <c r="K66" s="433"/>
      <c r="L66" s="505"/>
      <c r="M66" s="294"/>
    </row>
    <row r="67" spans="1:17" ht="19.5" customHeight="1" x14ac:dyDescent="0.25">
      <c r="A67" s="2130">
        <v>7</v>
      </c>
      <c r="B67" s="1590" t="s">
        <v>121</v>
      </c>
      <c r="C67" s="2061"/>
      <c r="D67" s="2061">
        <f>'52_NĐ31'!C36</f>
        <v>403101.56</v>
      </c>
      <c r="E67" s="2061">
        <f t="shared" si="12"/>
        <v>444680.95999999996</v>
      </c>
      <c r="F67" s="2061"/>
      <c r="G67" s="2119">
        <v>444680.95999999996</v>
      </c>
      <c r="H67" s="2126"/>
      <c r="I67" s="2157">
        <f t="shared" si="11"/>
        <v>1.1031486953312708</v>
      </c>
      <c r="J67" s="288"/>
      <c r="K67" s="1057"/>
      <c r="L67" s="505"/>
      <c r="M67" s="294"/>
    </row>
    <row r="68" spans="1:17" ht="19.5" customHeight="1" x14ac:dyDescent="0.25">
      <c r="A68" s="2130">
        <v>8</v>
      </c>
      <c r="B68" s="1590" t="s">
        <v>123</v>
      </c>
      <c r="C68" s="2061"/>
      <c r="D68" s="2061">
        <f>'52_NĐ31'!C37</f>
        <v>8749053.2300000004</v>
      </c>
      <c r="E68" s="2061">
        <f t="shared" si="12"/>
        <v>9119303.682</v>
      </c>
      <c r="F68" s="2061"/>
      <c r="G68" s="2119">
        <f>'56_NĐ31'!L9</f>
        <v>9119303.682</v>
      </c>
      <c r="H68" s="2126"/>
      <c r="I68" s="2157">
        <f t="shared" si="11"/>
        <v>1.0423189163749091</v>
      </c>
      <c r="J68" s="288"/>
      <c r="K68" s="1057"/>
      <c r="L68" s="505"/>
      <c r="M68" s="294"/>
    </row>
    <row r="69" spans="1:17" ht="19.5" customHeight="1" x14ac:dyDescent="0.25">
      <c r="A69" s="2130">
        <v>9</v>
      </c>
      <c r="B69" s="1590" t="s">
        <v>82</v>
      </c>
      <c r="C69" s="2061"/>
      <c r="D69" s="2061">
        <f>'52_NĐ31'!C38</f>
        <v>41617320.995999999</v>
      </c>
      <c r="E69" s="2468">
        <f>SUM(F69:G69)</f>
        <v>31637946.605</v>
      </c>
      <c r="F69" s="2061">
        <f>266700+54889.4</f>
        <v>321589.40000000002</v>
      </c>
      <c r="G69" s="2119">
        <f>'56_NĐ31'!M9-266700-54889.4</f>
        <v>31316357.205000002</v>
      </c>
      <c r="H69" s="2126"/>
      <c r="I69" s="2157">
        <f t="shared" si="11"/>
        <v>0.76021103347908547</v>
      </c>
      <c r="J69" s="288">
        <v>31637946.605</v>
      </c>
      <c r="K69" s="1057">
        <f>E69-J69</f>
        <v>0</v>
      </c>
      <c r="L69" s="872"/>
      <c r="M69" s="294"/>
    </row>
    <row r="70" spans="1:17" ht="33.75" customHeight="1" x14ac:dyDescent="0.25">
      <c r="A70" s="2130">
        <v>10</v>
      </c>
      <c r="B70" s="1590" t="s">
        <v>32</v>
      </c>
      <c r="C70" s="2061"/>
      <c r="D70" s="2061">
        <f>'52_NĐ31'!C39</f>
        <v>62197643.375</v>
      </c>
      <c r="E70" s="2061">
        <f>SUM(F70:G70)</f>
        <v>122721987.163</v>
      </c>
      <c r="F70" s="2061">
        <f>35280</f>
        <v>35280</v>
      </c>
      <c r="G70" s="2119">
        <f>'56_NĐ31'!P9-35280</f>
        <v>122686707.163</v>
      </c>
      <c r="H70" s="2126"/>
      <c r="I70" s="2157">
        <f t="shared" si="11"/>
        <v>1.9730970580844778</v>
      </c>
      <c r="J70" s="295"/>
      <c r="K70" s="1057"/>
      <c r="L70" s="288"/>
      <c r="M70" s="294"/>
    </row>
    <row r="71" spans="1:17" ht="19.5" customHeight="1" x14ac:dyDescent="0.25">
      <c r="A71" s="2130">
        <v>11</v>
      </c>
      <c r="B71" s="1590" t="s">
        <v>127</v>
      </c>
      <c r="C71" s="2061"/>
      <c r="D71" s="2061">
        <f>'52_NĐ31'!C40</f>
        <v>12422938.1</v>
      </c>
      <c r="E71" s="2061">
        <f t="shared" si="12"/>
        <v>17612829.282000002</v>
      </c>
      <c r="F71" s="2061"/>
      <c r="G71" s="2119">
        <f>'56_NĐ31'!Q9</f>
        <v>17612829.282000002</v>
      </c>
      <c r="H71" s="2126"/>
      <c r="I71" s="2157">
        <f t="shared" si="11"/>
        <v>1.4177668068715565</v>
      </c>
      <c r="J71" s="288"/>
      <c r="K71" s="1057"/>
      <c r="M71" s="294"/>
    </row>
    <row r="72" spans="1:17" ht="19.5" customHeight="1" x14ac:dyDescent="0.25">
      <c r="A72" s="2130">
        <v>12</v>
      </c>
      <c r="B72" s="1590" t="s">
        <v>75</v>
      </c>
      <c r="C72" s="2061"/>
      <c r="D72" s="2061">
        <f>'52_NĐ31'!C41</f>
        <v>1521090.8</v>
      </c>
      <c r="E72" s="2061">
        <f>SUM(F72:G72)</f>
        <v>1591090.798</v>
      </c>
      <c r="F72" s="2061"/>
      <c r="G72" s="2119">
        <v>1591090.798</v>
      </c>
      <c r="H72" s="2126"/>
      <c r="I72" s="2157">
        <f t="shared" si="11"/>
        <v>1.0460196051412578</v>
      </c>
      <c r="J72" s="288"/>
      <c r="K72" s="1057"/>
    </row>
    <row r="73" spans="1:17" ht="19.5" customHeight="1" x14ac:dyDescent="0.25">
      <c r="A73" s="2130">
        <v>13</v>
      </c>
      <c r="B73" s="1590" t="s">
        <v>662</v>
      </c>
      <c r="C73" s="2061"/>
      <c r="D73" s="2061">
        <f>'52_NĐ31'!C42</f>
        <v>645000</v>
      </c>
      <c r="E73" s="2059">
        <f t="shared" si="12"/>
        <v>0</v>
      </c>
      <c r="F73" s="2061"/>
      <c r="G73" s="2119"/>
      <c r="H73" s="2126"/>
      <c r="I73" s="2126"/>
      <c r="J73" s="288"/>
      <c r="K73" s="1057"/>
    </row>
    <row r="74" spans="1:17" s="44" customFormat="1" ht="19.5" customHeight="1" x14ac:dyDescent="0.25">
      <c r="A74" s="2158" t="s">
        <v>17</v>
      </c>
      <c r="B74" s="2159" t="s">
        <v>667</v>
      </c>
      <c r="C74" s="2113"/>
      <c r="D74" s="2113"/>
      <c r="E74" s="2113">
        <f>SUM(F74:G74)</f>
        <v>250000</v>
      </c>
      <c r="F74" s="2061"/>
      <c r="G74" s="2118">
        <f>'60_TT342'!H18</f>
        <v>250000</v>
      </c>
      <c r="H74" s="2114"/>
      <c r="I74" s="2114"/>
      <c r="J74" s="290"/>
      <c r="K74" s="288"/>
      <c r="Q74" s="957"/>
    </row>
    <row r="75" spans="1:17" s="44" customFormat="1" ht="19.5" customHeight="1" x14ac:dyDescent="0.25">
      <c r="A75" s="2158" t="s">
        <v>18</v>
      </c>
      <c r="B75" s="2159" t="s">
        <v>534</v>
      </c>
      <c r="C75" s="2113">
        <v>7604000</v>
      </c>
      <c r="D75" s="2113">
        <v>7604000</v>
      </c>
      <c r="E75" s="2059">
        <f t="shared" si="12"/>
        <v>0</v>
      </c>
      <c r="F75" s="2113"/>
      <c r="G75" s="2118"/>
      <c r="H75" s="2114"/>
      <c r="I75" s="2114"/>
      <c r="J75" s="290"/>
      <c r="K75" s="288"/>
    </row>
    <row r="76" spans="1:17" s="44" customFormat="1" ht="19.5" customHeight="1" x14ac:dyDescent="0.2">
      <c r="A76" s="2158" t="s">
        <v>22</v>
      </c>
      <c r="B76" s="2159" t="s">
        <v>104</v>
      </c>
      <c r="C76" s="2113"/>
      <c r="D76" s="2113">
        <f>'48_NĐ31'!D29-(D60-'48_NĐ31'!D23)</f>
        <v>115940986.21300001</v>
      </c>
      <c r="E76" s="2113"/>
      <c r="F76" s="2113"/>
      <c r="G76" s="2118"/>
      <c r="H76" s="2114"/>
      <c r="I76" s="2114"/>
      <c r="J76" s="290"/>
      <c r="K76" s="290"/>
    </row>
    <row r="77" spans="1:17" s="44" customFormat="1" ht="19.5" customHeight="1" x14ac:dyDescent="0.2">
      <c r="A77" s="2160" t="s">
        <v>50</v>
      </c>
      <c r="B77" s="2161" t="s">
        <v>136</v>
      </c>
      <c r="C77" s="2162"/>
      <c r="D77" s="2162"/>
      <c r="E77" s="2489">
        <f>SUM(F77:G77)</f>
        <v>36659241.707000002</v>
      </c>
      <c r="F77" s="2162"/>
      <c r="G77" s="2163">
        <f>'60_TT342'!H16</f>
        <v>36659241.707000002</v>
      </c>
      <c r="H77" s="2138"/>
      <c r="I77" s="2138"/>
      <c r="J77" s="291"/>
      <c r="K77" s="291"/>
      <c r="L77" s="284"/>
    </row>
    <row r="78" spans="1:17" ht="19.5" customHeight="1" x14ac:dyDescent="0.25">
      <c r="A78" s="2054" t="s">
        <v>4</v>
      </c>
      <c r="B78" s="2164" t="s">
        <v>137</v>
      </c>
      <c r="C78" s="2056"/>
      <c r="D78" s="2055"/>
      <c r="E78" s="2056"/>
      <c r="F78" s="2056"/>
      <c r="G78" s="2056"/>
      <c r="H78" s="2165"/>
      <c r="I78" s="2166"/>
      <c r="J78" s="292"/>
      <c r="K78" s="172"/>
      <c r="L78" s="288"/>
      <c r="M78" s="240"/>
    </row>
    <row r="79" spans="1:17" ht="19.5" customHeight="1" x14ac:dyDescent="0.25">
      <c r="A79" s="2167">
        <v>1</v>
      </c>
      <c r="B79" s="2168" t="s">
        <v>138</v>
      </c>
      <c r="C79" s="2058"/>
      <c r="D79" s="2058"/>
      <c r="E79" s="2058"/>
      <c r="F79" s="2058"/>
      <c r="G79" s="2169"/>
      <c r="H79" s="2144"/>
      <c r="I79" s="2144"/>
      <c r="J79" s="292"/>
      <c r="K79" s="292"/>
      <c r="L79" s="288"/>
    </row>
    <row r="80" spans="1:17" ht="19.5" customHeight="1" x14ac:dyDescent="0.25">
      <c r="A80" s="2130">
        <v>2</v>
      </c>
      <c r="B80" s="1590" t="s">
        <v>104</v>
      </c>
      <c r="C80" s="2061"/>
      <c r="D80" s="2061"/>
      <c r="E80" s="2058"/>
      <c r="F80" s="2061"/>
      <c r="G80" s="2061"/>
      <c r="H80" s="2126"/>
      <c r="I80" s="2144"/>
      <c r="J80" s="292"/>
      <c r="K80" s="292"/>
      <c r="L80" s="288"/>
      <c r="M80" s="241"/>
    </row>
    <row r="81" spans="1:13" ht="19.5" customHeight="1" x14ac:dyDescent="0.25">
      <c r="A81" s="2130"/>
      <c r="B81" s="1590" t="s">
        <v>139</v>
      </c>
      <c r="C81" s="2061"/>
      <c r="D81" s="2061"/>
      <c r="E81" s="2058"/>
      <c r="F81" s="2064"/>
      <c r="G81" s="2119"/>
      <c r="H81" s="2126"/>
      <c r="I81" s="2144"/>
      <c r="J81" s="172"/>
      <c r="K81" s="172"/>
      <c r="L81" s="288"/>
    </row>
    <row r="82" spans="1:13" ht="19.5" customHeight="1" x14ac:dyDescent="0.25">
      <c r="A82" s="2170"/>
      <c r="B82" s="2171" t="s">
        <v>140</v>
      </c>
      <c r="C82" s="2065"/>
      <c r="D82" s="2065"/>
      <c r="E82" s="2065"/>
      <c r="F82" s="2065"/>
      <c r="G82" s="2172"/>
      <c r="H82" s="2148"/>
      <c r="I82" s="2148"/>
      <c r="J82" s="172"/>
      <c r="K82" s="172"/>
      <c r="L82" s="288"/>
      <c r="M82" s="241"/>
    </row>
    <row r="83" spans="1:13" ht="19.5" customHeight="1" x14ac:dyDescent="0.25">
      <c r="A83" s="2103" t="s">
        <v>45</v>
      </c>
      <c r="B83" s="2173" t="s">
        <v>141</v>
      </c>
      <c r="C83" s="2174"/>
      <c r="D83" s="2174"/>
      <c r="E83" s="2104">
        <f>SUM(F83:G83)</f>
        <v>10510612.880000001</v>
      </c>
      <c r="F83" s="2104"/>
      <c r="G83" s="2175">
        <f>'60_TT342'!H17</f>
        <v>10510612.880000001</v>
      </c>
      <c r="H83" s="2176"/>
      <c r="I83" s="2176"/>
      <c r="J83" s="517"/>
      <c r="K83" s="144"/>
      <c r="L83" s="289"/>
    </row>
    <row r="84" spans="1:13" ht="23.25" hidden="1" customHeight="1" x14ac:dyDescent="0.25">
      <c r="A84" s="3140" t="s">
        <v>2341</v>
      </c>
      <c r="B84" s="3140"/>
      <c r="C84" s="3260"/>
      <c r="D84" s="3260"/>
      <c r="E84" s="3260"/>
      <c r="F84" s="3140" t="s">
        <v>2340</v>
      </c>
      <c r="G84" s="3140"/>
      <c r="H84" s="3140"/>
      <c r="I84" s="3140"/>
      <c r="J84" s="179"/>
      <c r="K84" s="179"/>
      <c r="L84" s="288"/>
    </row>
    <row r="85" spans="1:13" ht="20.25" hidden="1" customHeight="1" x14ac:dyDescent="0.25">
      <c r="A85" s="3132" t="str">
        <f>'61_TT342'!A47</f>
        <v>PHÒNG GIAO DỊCH SỐ 4  KBNN KHU VỰC VII</v>
      </c>
      <c r="B85" s="3132"/>
      <c r="C85" s="3132" t="s">
        <v>1507</v>
      </c>
      <c r="D85" s="3132"/>
      <c r="E85" s="3132"/>
      <c r="F85" s="3132"/>
      <c r="G85" s="3132" t="s">
        <v>1372</v>
      </c>
      <c r="H85" s="3132"/>
      <c r="I85" s="3132"/>
      <c r="J85" s="283"/>
      <c r="K85" s="283"/>
    </row>
    <row r="86" spans="1:13" ht="21" hidden="1" customHeight="1" x14ac:dyDescent="0.25">
      <c r="A86" s="3132" t="str">
        <f>'61_TT342'!A48</f>
        <v>Kế toán                Kế toán trưởng          Giám đốc</v>
      </c>
      <c r="B86" s="3132"/>
      <c r="C86" s="3132" t="s">
        <v>1910</v>
      </c>
      <c r="D86" s="3132"/>
      <c r="E86" s="3132"/>
      <c r="F86" s="3132"/>
      <c r="G86" s="3132" t="s">
        <v>513</v>
      </c>
      <c r="H86" s="3132"/>
      <c r="I86" s="3132"/>
      <c r="J86" s="283"/>
      <c r="K86" s="549"/>
    </row>
    <row r="87" spans="1:13" ht="15.75" hidden="1" x14ac:dyDescent="0.25">
      <c r="A87" s="10"/>
      <c r="C87" s="63"/>
      <c r="D87" s="63"/>
      <c r="E87" s="102"/>
      <c r="F87" s="782"/>
      <c r="G87" s="225"/>
      <c r="H87" s="188"/>
      <c r="I87" s="226"/>
      <c r="K87" s="314"/>
    </row>
    <row r="88" spans="1:13" ht="15.75" hidden="1" x14ac:dyDescent="0.25">
      <c r="A88" s="10"/>
      <c r="C88" s="63"/>
      <c r="D88" s="63"/>
      <c r="E88" s="102"/>
      <c r="F88" s="225"/>
      <c r="G88" s="225"/>
      <c r="H88" s="188"/>
      <c r="I88" s="226"/>
      <c r="K88" s="314"/>
    </row>
    <row r="89" spans="1:13" ht="15.75" hidden="1" x14ac:dyDescent="0.25">
      <c r="A89" s="10"/>
      <c r="C89" s="102"/>
      <c r="D89" s="102"/>
      <c r="E89" s="102"/>
      <c r="F89" s="225"/>
      <c r="G89" s="225"/>
      <c r="H89" s="188"/>
      <c r="I89" s="226"/>
      <c r="K89" s="314"/>
      <c r="L89" s="172"/>
    </row>
    <row r="90" spans="1:13" ht="15.75" hidden="1" x14ac:dyDescent="0.25">
      <c r="A90" s="10"/>
      <c r="C90" s="3261"/>
      <c r="D90" s="3261"/>
      <c r="E90" s="3261"/>
      <c r="F90" s="227"/>
      <c r="G90" s="227"/>
      <c r="H90" s="188"/>
      <c r="I90" s="226"/>
      <c r="K90" s="314"/>
    </row>
    <row r="91" spans="1:13" ht="15.75" hidden="1" x14ac:dyDescent="0.25">
      <c r="A91" s="10"/>
      <c r="C91" s="102"/>
      <c r="D91" s="102"/>
      <c r="E91" s="102"/>
      <c r="F91" s="225"/>
      <c r="G91" s="225"/>
      <c r="H91" s="188"/>
      <c r="I91" s="226"/>
      <c r="K91" s="314"/>
    </row>
    <row r="92" spans="1:13" ht="15.75" hidden="1" x14ac:dyDescent="0.25">
      <c r="A92" s="10"/>
      <c r="C92" s="102"/>
      <c r="D92" s="102"/>
      <c r="E92" s="102"/>
      <c r="F92" s="225"/>
      <c r="G92" s="225"/>
      <c r="H92" s="188"/>
      <c r="I92" s="226"/>
      <c r="K92" s="788"/>
    </row>
    <row r="93" spans="1:13" ht="18.75" hidden="1" x14ac:dyDescent="0.3">
      <c r="A93" s="10"/>
      <c r="C93" s="3121" t="s">
        <v>1386</v>
      </c>
      <c r="D93" s="3121"/>
      <c r="E93" s="3121"/>
      <c r="F93" s="3121"/>
      <c r="G93" s="3119" t="s">
        <v>1373</v>
      </c>
      <c r="H93" s="3119"/>
      <c r="I93" s="3119"/>
      <c r="J93" s="228"/>
      <c r="K93" s="550"/>
    </row>
    <row r="94" spans="1:13" x14ac:dyDescent="0.25">
      <c r="K94" s="314"/>
    </row>
  </sheetData>
  <mergeCells count="25">
    <mergeCell ref="G4:I4"/>
    <mergeCell ref="C90:E90"/>
    <mergeCell ref="G1:I1"/>
    <mergeCell ref="A2:I2"/>
    <mergeCell ref="A3:I3"/>
    <mergeCell ref="A5:A7"/>
    <mergeCell ref="B5:B7"/>
    <mergeCell ref="C5:D5"/>
    <mergeCell ref="E5:G5"/>
    <mergeCell ref="A85:B85"/>
    <mergeCell ref="A86:B86"/>
    <mergeCell ref="C85:F85"/>
    <mergeCell ref="C86:F86"/>
    <mergeCell ref="A84:B84"/>
    <mergeCell ref="C93:F93"/>
    <mergeCell ref="G85:I85"/>
    <mergeCell ref="G86:I86"/>
    <mergeCell ref="G93:I93"/>
    <mergeCell ref="H5:I5"/>
    <mergeCell ref="E6:E7"/>
    <mergeCell ref="D6:D7"/>
    <mergeCell ref="C6:C7"/>
    <mergeCell ref="F6:G6"/>
    <mergeCell ref="C84:E84"/>
    <mergeCell ref="F84:I84"/>
  </mergeCells>
  <printOptions horizontalCentered="1"/>
  <pageMargins left="0.56000000000000005" right="0.55118110236220497" top="0.56000000000000005" bottom="0.56000000000000005" header="0.31496062992126" footer="0.25"/>
  <pageSetup paperSize="9" scale="90" firstPageNumber="37" orientation="landscape" useFirstPageNumber="1" r:id="rId1"/>
  <headerFooter>
    <oddFooter>&amp;C&amp;P</oddFooter>
  </headerFooter>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2C8CB-E876-4D9C-9AF2-D5A0B5E3249F}">
  <dimension ref="A1:J96"/>
  <sheetViews>
    <sheetView zoomScale="80" zoomScaleNormal="80" workbookViewId="0">
      <selection activeCell="G18" sqref="G18"/>
    </sheetView>
  </sheetViews>
  <sheetFormatPr defaultRowHeight="15.75" x14ac:dyDescent="0.25"/>
  <cols>
    <col min="1" max="1" width="5.85546875" style="1208" customWidth="1"/>
    <col min="2" max="2" width="52.42578125" style="1208" customWidth="1"/>
    <col min="3" max="3" width="9.42578125" style="1208" customWidth="1"/>
    <col min="4" max="6" width="11" style="1208" customWidth="1"/>
    <col min="7" max="7" width="17" style="1208" customWidth="1"/>
    <col min="8" max="8" width="11" style="1208" customWidth="1"/>
    <col min="9" max="9" width="9.42578125" style="1208" customWidth="1"/>
    <col min="10" max="10" width="12.85546875" style="1208" customWidth="1"/>
    <col min="11" max="11" width="30" style="1208" bestFit="1" customWidth="1"/>
    <col min="12" max="256" width="9.140625" style="1208"/>
    <col min="257" max="257" width="5.85546875" style="1208" customWidth="1"/>
    <col min="258" max="258" width="52.42578125" style="1208" customWidth="1"/>
    <col min="259" max="259" width="9.42578125" style="1208" customWidth="1"/>
    <col min="260" max="262" width="11" style="1208" customWidth="1"/>
    <col min="263" max="263" width="17" style="1208" customWidth="1"/>
    <col min="264" max="264" width="11" style="1208" customWidth="1"/>
    <col min="265" max="265" width="9.42578125" style="1208" customWidth="1"/>
    <col min="266" max="266" width="12.85546875" style="1208" customWidth="1"/>
    <col min="267" max="267" width="30" style="1208" bestFit="1" customWidth="1"/>
    <col min="268" max="512" width="9.140625" style="1208"/>
    <col min="513" max="513" width="5.85546875" style="1208" customWidth="1"/>
    <col min="514" max="514" width="52.42578125" style="1208" customWidth="1"/>
    <col min="515" max="515" width="9.42578125" style="1208" customWidth="1"/>
    <col min="516" max="518" width="11" style="1208" customWidth="1"/>
    <col min="519" max="519" width="17" style="1208" customWidth="1"/>
    <col min="520" max="520" width="11" style="1208" customWidth="1"/>
    <col min="521" max="521" width="9.42578125" style="1208" customWidth="1"/>
    <col min="522" max="522" width="12.85546875" style="1208" customWidth="1"/>
    <col min="523" max="523" width="30" style="1208" bestFit="1" customWidth="1"/>
    <col min="524" max="768" width="9.140625" style="1208"/>
    <col min="769" max="769" width="5.85546875" style="1208" customWidth="1"/>
    <col min="770" max="770" width="52.42578125" style="1208" customWidth="1"/>
    <col min="771" max="771" width="9.42578125" style="1208" customWidth="1"/>
    <col min="772" max="774" width="11" style="1208" customWidth="1"/>
    <col min="775" max="775" width="17" style="1208" customWidth="1"/>
    <col min="776" max="776" width="11" style="1208" customWidth="1"/>
    <col min="777" max="777" width="9.42578125" style="1208" customWidth="1"/>
    <col min="778" max="778" width="12.85546875" style="1208" customWidth="1"/>
    <col min="779" max="779" width="30" style="1208" bestFit="1" customWidth="1"/>
    <col min="780" max="1024" width="9.140625" style="1208"/>
    <col min="1025" max="1025" width="5.85546875" style="1208" customWidth="1"/>
    <col min="1026" max="1026" width="52.42578125" style="1208" customWidth="1"/>
    <col min="1027" max="1027" width="9.42578125" style="1208" customWidth="1"/>
    <col min="1028" max="1030" width="11" style="1208" customWidth="1"/>
    <col min="1031" max="1031" width="17" style="1208" customWidth="1"/>
    <col min="1032" max="1032" width="11" style="1208" customWidth="1"/>
    <col min="1033" max="1033" width="9.42578125" style="1208" customWidth="1"/>
    <col min="1034" max="1034" width="12.85546875" style="1208" customWidth="1"/>
    <col min="1035" max="1035" width="30" style="1208" bestFit="1" customWidth="1"/>
    <col min="1036" max="1280" width="9.140625" style="1208"/>
    <col min="1281" max="1281" width="5.85546875" style="1208" customWidth="1"/>
    <col min="1282" max="1282" width="52.42578125" style="1208" customWidth="1"/>
    <col min="1283" max="1283" width="9.42578125" style="1208" customWidth="1"/>
    <col min="1284" max="1286" width="11" style="1208" customWidth="1"/>
    <col min="1287" max="1287" width="17" style="1208" customWidth="1"/>
    <col min="1288" max="1288" width="11" style="1208" customWidth="1"/>
    <col min="1289" max="1289" width="9.42578125" style="1208" customWidth="1"/>
    <col min="1290" max="1290" width="12.85546875" style="1208" customWidth="1"/>
    <col min="1291" max="1291" width="30" style="1208" bestFit="1" customWidth="1"/>
    <col min="1292" max="1536" width="9.140625" style="1208"/>
    <col min="1537" max="1537" width="5.85546875" style="1208" customWidth="1"/>
    <col min="1538" max="1538" width="52.42578125" style="1208" customWidth="1"/>
    <col min="1539" max="1539" width="9.42578125" style="1208" customWidth="1"/>
    <col min="1540" max="1542" width="11" style="1208" customWidth="1"/>
    <col min="1543" max="1543" width="17" style="1208" customWidth="1"/>
    <col min="1544" max="1544" width="11" style="1208" customWidth="1"/>
    <col min="1545" max="1545" width="9.42578125" style="1208" customWidth="1"/>
    <col min="1546" max="1546" width="12.85546875" style="1208" customWidth="1"/>
    <col min="1547" max="1547" width="30" style="1208" bestFit="1" customWidth="1"/>
    <col min="1548" max="1792" width="9.140625" style="1208"/>
    <col min="1793" max="1793" width="5.85546875" style="1208" customWidth="1"/>
    <col min="1794" max="1794" width="52.42578125" style="1208" customWidth="1"/>
    <col min="1795" max="1795" width="9.42578125" style="1208" customWidth="1"/>
    <col min="1796" max="1798" width="11" style="1208" customWidth="1"/>
    <col min="1799" max="1799" width="17" style="1208" customWidth="1"/>
    <col min="1800" max="1800" width="11" style="1208" customWidth="1"/>
    <col min="1801" max="1801" width="9.42578125" style="1208" customWidth="1"/>
    <col min="1802" max="1802" width="12.85546875" style="1208" customWidth="1"/>
    <col min="1803" max="1803" width="30" style="1208" bestFit="1" customWidth="1"/>
    <col min="1804" max="2048" width="9.140625" style="1208"/>
    <col min="2049" max="2049" width="5.85546875" style="1208" customWidth="1"/>
    <col min="2050" max="2050" width="52.42578125" style="1208" customWidth="1"/>
    <col min="2051" max="2051" width="9.42578125" style="1208" customWidth="1"/>
    <col min="2052" max="2054" width="11" style="1208" customWidth="1"/>
    <col min="2055" max="2055" width="17" style="1208" customWidth="1"/>
    <col min="2056" max="2056" width="11" style="1208" customWidth="1"/>
    <col min="2057" max="2057" width="9.42578125" style="1208" customWidth="1"/>
    <col min="2058" max="2058" width="12.85546875" style="1208" customWidth="1"/>
    <col min="2059" max="2059" width="30" style="1208" bestFit="1" customWidth="1"/>
    <col min="2060" max="2304" width="9.140625" style="1208"/>
    <col min="2305" max="2305" width="5.85546875" style="1208" customWidth="1"/>
    <col min="2306" max="2306" width="52.42578125" style="1208" customWidth="1"/>
    <col min="2307" max="2307" width="9.42578125" style="1208" customWidth="1"/>
    <col min="2308" max="2310" width="11" style="1208" customWidth="1"/>
    <col min="2311" max="2311" width="17" style="1208" customWidth="1"/>
    <col min="2312" max="2312" width="11" style="1208" customWidth="1"/>
    <col min="2313" max="2313" width="9.42578125" style="1208" customWidth="1"/>
    <col min="2314" max="2314" width="12.85546875" style="1208" customWidth="1"/>
    <col min="2315" max="2315" width="30" style="1208" bestFit="1" customWidth="1"/>
    <col min="2316" max="2560" width="9.140625" style="1208"/>
    <col min="2561" max="2561" width="5.85546875" style="1208" customWidth="1"/>
    <col min="2562" max="2562" width="52.42578125" style="1208" customWidth="1"/>
    <col min="2563" max="2563" width="9.42578125" style="1208" customWidth="1"/>
    <col min="2564" max="2566" width="11" style="1208" customWidth="1"/>
    <col min="2567" max="2567" width="17" style="1208" customWidth="1"/>
    <col min="2568" max="2568" width="11" style="1208" customWidth="1"/>
    <col min="2569" max="2569" width="9.42578125" style="1208" customWidth="1"/>
    <col min="2570" max="2570" width="12.85546875" style="1208" customWidth="1"/>
    <col min="2571" max="2571" width="30" style="1208" bestFit="1" customWidth="1"/>
    <col min="2572" max="2816" width="9.140625" style="1208"/>
    <col min="2817" max="2817" width="5.85546875" style="1208" customWidth="1"/>
    <col min="2818" max="2818" width="52.42578125" style="1208" customWidth="1"/>
    <col min="2819" max="2819" width="9.42578125" style="1208" customWidth="1"/>
    <col min="2820" max="2822" width="11" style="1208" customWidth="1"/>
    <col min="2823" max="2823" width="17" style="1208" customWidth="1"/>
    <col min="2824" max="2824" width="11" style="1208" customWidth="1"/>
    <col min="2825" max="2825" width="9.42578125" style="1208" customWidth="1"/>
    <col min="2826" max="2826" width="12.85546875" style="1208" customWidth="1"/>
    <col min="2827" max="2827" width="30" style="1208" bestFit="1" customWidth="1"/>
    <col min="2828" max="3072" width="9.140625" style="1208"/>
    <col min="3073" max="3073" width="5.85546875" style="1208" customWidth="1"/>
    <col min="3074" max="3074" width="52.42578125" style="1208" customWidth="1"/>
    <col min="3075" max="3075" width="9.42578125" style="1208" customWidth="1"/>
    <col min="3076" max="3078" width="11" style="1208" customWidth="1"/>
    <col min="3079" max="3079" width="17" style="1208" customWidth="1"/>
    <col min="3080" max="3080" width="11" style="1208" customWidth="1"/>
    <col min="3081" max="3081" width="9.42578125" style="1208" customWidth="1"/>
    <col min="3082" max="3082" width="12.85546875" style="1208" customWidth="1"/>
    <col min="3083" max="3083" width="30" style="1208" bestFit="1" customWidth="1"/>
    <col min="3084" max="3328" width="9.140625" style="1208"/>
    <col min="3329" max="3329" width="5.85546875" style="1208" customWidth="1"/>
    <col min="3330" max="3330" width="52.42578125" style="1208" customWidth="1"/>
    <col min="3331" max="3331" width="9.42578125" style="1208" customWidth="1"/>
    <col min="3332" max="3334" width="11" style="1208" customWidth="1"/>
    <col min="3335" max="3335" width="17" style="1208" customWidth="1"/>
    <col min="3336" max="3336" width="11" style="1208" customWidth="1"/>
    <col min="3337" max="3337" width="9.42578125" style="1208" customWidth="1"/>
    <col min="3338" max="3338" width="12.85546875" style="1208" customWidth="1"/>
    <col min="3339" max="3339" width="30" style="1208" bestFit="1" customWidth="1"/>
    <col min="3340" max="3584" width="9.140625" style="1208"/>
    <col min="3585" max="3585" width="5.85546875" style="1208" customWidth="1"/>
    <col min="3586" max="3586" width="52.42578125" style="1208" customWidth="1"/>
    <col min="3587" max="3587" width="9.42578125" style="1208" customWidth="1"/>
    <col min="3588" max="3590" width="11" style="1208" customWidth="1"/>
    <col min="3591" max="3591" width="17" style="1208" customWidth="1"/>
    <col min="3592" max="3592" width="11" style="1208" customWidth="1"/>
    <col min="3593" max="3593" width="9.42578125" style="1208" customWidth="1"/>
    <col min="3594" max="3594" width="12.85546875" style="1208" customWidth="1"/>
    <col min="3595" max="3595" width="30" style="1208" bestFit="1" customWidth="1"/>
    <col min="3596" max="3840" width="9.140625" style="1208"/>
    <col min="3841" max="3841" width="5.85546875" style="1208" customWidth="1"/>
    <col min="3842" max="3842" width="52.42578125" style="1208" customWidth="1"/>
    <col min="3843" max="3843" width="9.42578125" style="1208" customWidth="1"/>
    <col min="3844" max="3846" width="11" style="1208" customWidth="1"/>
    <col min="3847" max="3847" width="17" style="1208" customWidth="1"/>
    <col min="3848" max="3848" width="11" style="1208" customWidth="1"/>
    <col min="3849" max="3849" width="9.42578125" style="1208" customWidth="1"/>
    <col min="3850" max="3850" width="12.85546875" style="1208" customWidth="1"/>
    <col min="3851" max="3851" width="30" style="1208" bestFit="1" customWidth="1"/>
    <col min="3852" max="4096" width="9.140625" style="1208"/>
    <col min="4097" max="4097" width="5.85546875" style="1208" customWidth="1"/>
    <col min="4098" max="4098" width="52.42578125" style="1208" customWidth="1"/>
    <col min="4099" max="4099" width="9.42578125" style="1208" customWidth="1"/>
    <col min="4100" max="4102" width="11" style="1208" customWidth="1"/>
    <col min="4103" max="4103" width="17" style="1208" customWidth="1"/>
    <col min="4104" max="4104" width="11" style="1208" customWidth="1"/>
    <col min="4105" max="4105" width="9.42578125" style="1208" customWidth="1"/>
    <col min="4106" max="4106" width="12.85546875" style="1208" customWidth="1"/>
    <col min="4107" max="4107" width="30" style="1208" bestFit="1" customWidth="1"/>
    <col min="4108" max="4352" width="9.140625" style="1208"/>
    <col min="4353" max="4353" width="5.85546875" style="1208" customWidth="1"/>
    <col min="4354" max="4354" width="52.42578125" style="1208" customWidth="1"/>
    <col min="4355" max="4355" width="9.42578125" style="1208" customWidth="1"/>
    <col min="4356" max="4358" width="11" style="1208" customWidth="1"/>
    <col min="4359" max="4359" width="17" style="1208" customWidth="1"/>
    <col min="4360" max="4360" width="11" style="1208" customWidth="1"/>
    <col min="4361" max="4361" width="9.42578125" style="1208" customWidth="1"/>
    <col min="4362" max="4362" width="12.85546875" style="1208" customWidth="1"/>
    <col min="4363" max="4363" width="30" style="1208" bestFit="1" customWidth="1"/>
    <col min="4364" max="4608" width="9.140625" style="1208"/>
    <col min="4609" max="4609" width="5.85546875" style="1208" customWidth="1"/>
    <col min="4610" max="4610" width="52.42578125" style="1208" customWidth="1"/>
    <col min="4611" max="4611" width="9.42578125" style="1208" customWidth="1"/>
    <col min="4612" max="4614" width="11" style="1208" customWidth="1"/>
    <col min="4615" max="4615" width="17" style="1208" customWidth="1"/>
    <col min="4616" max="4616" width="11" style="1208" customWidth="1"/>
    <col min="4617" max="4617" width="9.42578125" style="1208" customWidth="1"/>
    <col min="4618" max="4618" width="12.85546875" style="1208" customWidth="1"/>
    <col min="4619" max="4619" width="30" style="1208" bestFit="1" customWidth="1"/>
    <col min="4620" max="4864" width="9.140625" style="1208"/>
    <col min="4865" max="4865" width="5.85546875" style="1208" customWidth="1"/>
    <col min="4866" max="4866" width="52.42578125" style="1208" customWidth="1"/>
    <col min="4867" max="4867" width="9.42578125" style="1208" customWidth="1"/>
    <col min="4868" max="4870" width="11" style="1208" customWidth="1"/>
    <col min="4871" max="4871" width="17" style="1208" customWidth="1"/>
    <col min="4872" max="4872" width="11" style="1208" customWidth="1"/>
    <col min="4873" max="4873" width="9.42578125" style="1208" customWidth="1"/>
    <col min="4874" max="4874" width="12.85546875" style="1208" customWidth="1"/>
    <col min="4875" max="4875" width="30" style="1208" bestFit="1" customWidth="1"/>
    <col min="4876" max="5120" width="9.140625" style="1208"/>
    <col min="5121" max="5121" width="5.85546875" style="1208" customWidth="1"/>
    <col min="5122" max="5122" width="52.42578125" style="1208" customWidth="1"/>
    <col min="5123" max="5123" width="9.42578125" style="1208" customWidth="1"/>
    <col min="5124" max="5126" width="11" style="1208" customWidth="1"/>
    <col min="5127" max="5127" width="17" style="1208" customWidth="1"/>
    <col min="5128" max="5128" width="11" style="1208" customWidth="1"/>
    <col min="5129" max="5129" width="9.42578125" style="1208" customWidth="1"/>
    <col min="5130" max="5130" width="12.85546875" style="1208" customWidth="1"/>
    <col min="5131" max="5131" width="30" style="1208" bestFit="1" customWidth="1"/>
    <col min="5132" max="5376" width="9.140625" style="1208"/>
    <col min="5377" max="5377" width="5.85546875" style="1208" customWidth="1"/>
    <col min="5378" max="5378" width="52.42578125" style="1208" customWidth="1"/>
    <col min="5379" max="5379" width="9.42578125" style="1208" customWidth="1"/>
    <col min="5380" max="5382" width="11" style="1208" customWidth="1"/>
    <col min="5383" max="5383" width="17" style="1208" customWidth="1"/>
    <col min="5384" max="5384" width="11" style="1208" customWidth="1"/>
    <col min="5385" max="5385" width="9.42578125" style="1208" customWidth="1"/>
    <col min="5386" max="5386" width="12.85546875" style="1208" customWidth="1"/>
    <col min="5387" max="5387" width="30" style="1208" bestFit="1" customWidth="1"/>
    <col min="5388" max="5632" width="9.140625" style="1208"/>
    <col min="5633" max="5633" width="5.85546875" style="1208" customWidth="1"/>
    <col min="5634" max="5634" width="52.42578125" style="1208" customWidth="1"/>
    <col min="5635" max="5635" width="9.42578125" style="1208" customWidth="1"/>
    <col min="5636" max="5638" width="11" style="1208" customWidth="1"/>
    <col min="5639" max="5639" width="17" style="1208" customWidth="1"/>
    <col min="5640" max="5640" width="11" style="1208" customWidth="1"/>
    <col min="5641" max="5641" width="9.42578125" style="1208" customWidth="1"/>
    <col min="5642" max="5642" width="12.85546875" style="1208" customWidth="1"/>
    <col min="5643" max="5643" width="30" style="1208" bestFit="1" customWidth="1"/>
    <col min="5644" max="5888" width="9.140625" style="1208"/>
    <col min="5889" max="5889" width="5.85546875" style="1208" customWidth="1"/>
    <col min="5890" max="5890" width="52.42578125" style="1208" customWidth="1"/>
    <col min="5891" max="5891" width="9.42578125" style="1208" customWidth="1"/>
    <col min="5892" max="5894" width="11" style="1208" customWidth="1"/>
    <col min="5895" max="5895" width="17" style="1208" customWidth="1"/>
    <col min="5896" max="5896" width="11" style="1208" customWidth="1"/>
    <col min="5897" max="5897" width="9.42578125" style="1208" customWidth="1"/>
    <col min="5898" max="5898" width="12.85546875" style="1208" customWidth="1"/>
    <col min="5899" max="5899" width="30" style="1208" bestFit="1" customWidth="1"/>
    <col min="5900" max="6144" width="9.140625" style="1208"/>
    <col min="6145" max="6145" width="5.85546875" style="1208" customWidth="1"/>
    <col min="6146" max="6146" width="52.42578125" style="1208" customWidth="1"/>
    <col min="6147" max="6147" width="9.42578125" style="1208" customWidth="1"/>
    <col min="6148" max="6150" width="11" style="1208" customWidth="1"/>
    <col min="6151" max="6151" width="17" style="1208" customWidth="1"/>
    <col min="6152" max="6152" width="11" style="1208" customWidth="1"/>
    <col min="6153" max="6153" width="9.42578125" style="1208" customWidth="1"/>
    <col min="6154" max="6154" width="12.85546875" style="1208" customWidth="1"/>
    <col min="6155" max="6155" width="30" style="1208" bestFit="1" customWidth="1"/>
    <col min="6156" max="6400" width="9.140625" style="1208"/>
    <col min="6401" max="6401" width="5.85546875" style="1208" customWidth="1"/>
    <col min="6402" max="6402" width="52.42578125" style="1208" customWidth="1"/>
    <col min="6403" max="6403" width="9.42578125" style="1208" customWidth="1"/>
    <col min="6404" max="6406" width="11" style="1208" customWidth="1"/>
    <col min="6407" max="6407" width="17" style="1208" customWidth="1"/>
    <col min="6408" max="6408" width="11" style="1208" customWidth="1"/>
    <col min="6409" max="6409" width="9.42578125" style="1208" customWidth="1"/>
    <col min="6410" max="6410" width="12.85546875" style="1208" customWidth="1"/>
    <col min="6411" max="6411" width="30" style="1208" bestFit="1" customWidth="1"/>
    <col min="6412" max="6656" width="9.140625" style="1208"/>
    <col min="6657" max="6657" width="5.85546875" style="1208" customWidth="1"/>
    <col min="6658" max="6658" width="52.42578125" style="1208" customWidth="1"/>
    <col min="6659" max="6659" width="9.42578125" style="1208" customWidth="1"/>
    <col min="6660" max="6662" width="11" style="1208" customWidth="1"/>
    <col min="6663" max="6663" width="17" style="1208" customWidth="1"/>
    <col min="6664" max="6664" width="11" style="1208" customWidth="1"/>
    <col min="6665" max="6665" width="9.42578125" style="1208" customWidth="1"/>
    <col min="6666" max="6666" width="12.85546875" style="1208" customWidth="1"/>
    <col min="6667" max="6667" width="30" style="1208" bestFit="1" customWidth="1"/>
    <col min="6668" max="6912" width="9.140625" style="1208"/>
    <col min="6913" max="6913" width="5.85546875" style="1208" customWidth="1"/>
    <col min="6914" max="6914" width="52.42578125" style="1208" customWidth="1"/>
    <col min="6915" max="6915" width="9.42578125" style="1208" customWidth="1"/>
    <col min="6916" max="6918" width="11" style="1208" customWidth="1"/>
    <col min="6919" max="6919" width="17" style="1208" customWidth="1"/>
    <col min="6920" max="6920" width="11" style="1208" customWidth="1"/>
    <col min="6921" max="6921" width="9.42578125" style="1208" customWidth="1"/>
    <col min="6922" max="6922" width="12.85546875" style="1208" customWidth="1"/>
    <col min="6923" max="6923" width="30" style="1208" bestFit="1" customWidth="1"/>
    <col min="6924" max="7168" width="9.140625" style="1208"/>
    <col min="7169" max="7169" width="5.85546875" style="1208" customWidth="1"/>
    <col min="7170" max="7170" width="52.42578125" style="1208" customWidth="1"/>
    <col min="7171" max="7171" width="9.42578125" style="1208" customWidth="1"/>
    <col min="7172" max="7174" width="11" style="1208" customWidth="1"/>
    <col min="7175" max="7175" width="17" style="1208" customWidth="1"/>
    <col min="7176" max="7176" width="11" style="1208" customWidth="1"/>
    <col min="7177" max="7177" width="9.42578125" style="1208" customWidth="1"/>
    <col min="7178" max="7178" width="12.85546875" style="1208" customWidth="1"/>
    <col min="7179" max="7179" width="30" style="1208" bestFit="1" customWidth="1"/>
    <col min="7180" max="7424" width="9.140625" style="1208"/>
    <col min="7425" max="7425" width="5.85546875" style="1208" customWidth="1"/>
    <col min="7426" max="7426" width="52.42578125" style="1208" customWidth="1"/>
    <col min="7427" max="7427" width="9.42578125" style="1208" customWidth="1"/>
    <col min="7428" max="7430" width="11" style="1208" customWidth="1"/>
    <col min="7431" max="7431" width="17" style="1208" customWidth="1"/>
    <col min="7432" max="7432" width="11" style="1208" customWidth="1"/>
    <col min="7433" max="7433" width="9.42578125" style="1208" customWidth="1"/>
    <col min="7434" max="7434" width="12.85546875" style="1208" customWidth="1"/>
    <col min="7435" max="7435" width="30" style="1208" bestFit="1" customWidth="1"/>
    <col min="7436" max="7680" width="9.140625" style="1208"/>
    <col min="7681" max="7681" width="5.85546875" style="1208" customWidth="1"/>
    <col min="7682" max="7682" width="52.42578125" style="1208" customWidth="1"/>
    <col min="7683" max="7683" width="9.42578125" style="1208" customWidth="1"/>
    <col min="7684" max="7686" width="11" style="1208" customWidth="1"/>
    <col min="7687" max="7687" width="17" style="1208" customWidth="1"/>
    <col min="7688" max="7688" width="11" style="1208" customWidth="1"/>
    <col min="7689" max="7689" width="9.42578125" style="1208" customWidth="1"/>
    <col min="7690" max="7690" width="12.85546875" style="1208" customWidth="1"/>
    <col min="7691" max="7691" width="30" style="1208" bestFit="1" customWidth="1"/>
    <col min="7692" max="7936" width="9.140625" style="1208"/>
    <col min="7937" max="7937" width="5.85546875" style="1208" customWidth="1"/>
    <col min="7938" max="7938" width="52.42578125" style="1208" customWidth="1"/>
    <col min="7939" max="7939" width="9.42578125" style="1208" customWidth="1"/>
    <col min="7940" max="7942" width="11" style="1208" customWidth="1"/>
    <col min="7943" max="7943" width="17" style="1208" customWidth="1"/>
    <col min="7944" max="7944" width="11" style="1208" customWidth="1"/>
    <col min="7945" max="7945" width="9.42578125" style="1208" customWidth="1"/>
    <col min="7946" max="7946" width="12.85546875" style="1208" customWidth="1"/>
    <col min="7947" max="7947" width="30" style="1208" bestFit="1" customWidth="1"/>
    <col min="7948" max="8192" width="9.140625" style="1208"/>
    <col min="8193" max="8193" width="5.85546875" style="1208" customWidth="1"/>
    <col min="8194" max="8194" width="52.42578125" style="1208" customWidth="1"/>
    <col min="8195" max="8195" width="9.42578125" style="1208" customWidth="1"/>
    <col min="8196" max="8198" width="11" style="1208" customWidth="1"/>
    <col min="8199" max="8199" width="17" style="1208" customWidth="1"/>
    <col min="8200" max="8200" width="11" style="1208" customWidth="1"/>
    <col min="8201" max="8201" width="9.42578125" style="1208" customWidth="1"/>
    <col min="8202" max="8202" width="12.85546875" style="1208" customWidth="1"/>
    <col min="8203" max="8203" width="30" style="1208" bestFit="1" customWidth="1"/>
    <col min="8204" max="8448" width="9.140625" style="1208"/>
    <col min="8449" max="8449" width="5.85546875" style="1208" customWidth="1"/>
    <col min="8450" max="8450" width="52.42578125" style="1208" customWidth="1"/>
    <col min="8451" max="8451" width="9.42578125" style="1208" customWidth="1"/>
    <col min="8452" max="8454" width="11" style="1208" customWidth="1"/>
    <col min="8455" max="8455" width="17" style="1208" customWidth="1"/>
    <col min="8456" max="8456" width="11" style="1208" customWidth="1"/>
    <col min="8457" max="8457" width="9.42578125" style="1208" customWidth="1"/>
    <col min="8458" max="8458" width="12.85546875" style="1208" customWidth="1"/>
    <col min="8459" max="8459" width="30" style="1208" bestFit="1" customWidth="1"/>
    <col min="8460" max="8704" width="9.140625" style="1208"/>
    <col min="8705" max="8705" width="5.85546875" style="1208" customWidth="1"/>
    <col min="8706" max="8706" width="52.42578125" style="1208" customWidth="1"/>
    <col min="8707" max="8707" width="9.42578125" style="1208" customWidth="1"/>
    <col min="8708" max="8710" width="11" style="1208" customWidth="1"/>
    <col min="8711" max="8711" width="17" style="1208" customWidth="1"/>
    <col min="8712" max="8712" width="11" style="1208" customWidth="1"/>
    <col min="8713" max="8713" width="9.42578125" style="1208" customWidth="1"/>
    <col min="8714" max="8714" width="12.85546875" style="1208" customWidth="1"/>
    <col min="8715" max="8715" width="30" style="1208" bestFit="1" customWidth="1"/>
    <col min="8716" max="8960" width="9.140625" style="1208"/>
    <col min="8961" max="8961" width="5.85546875" style="1208" customWidth="1"/>
    <col min="8962" max="8962" width="52.42578125" style="1208" customWidth="1"/>
    <col min="8963" max="8963" width="9.42578125" style="1208" customWidth="1"/>
    <col min="8964" max="8966" width="11" style="1208" customWidth="1"/>
    <col min="8967" max="8967" width="17" style="1208" customWidth="1"/>
    <col min="8968" max="8968" width="11" style="1208" customWidth="1"/>
    <col min="8969" max="8969" width="9.42578125" style="1208" customWidth="1"/>
    <col min="8970" max="8970" width="12.85546875" style="1208" customWidth="1"/>
    <col min="8971" max="8971" width="30" style="1208" bestFit="1" customWidth="1"/>
    <col min="8972" max="9216" width="9.140625" style="1208"/>
    <col min="9217" max="9217" width="5.85546875" style="1208" customWidth="1"/>
    <col min="9218" max="9218" width="52.42578125" style="1208" customWidth="1"/>
    <col min="9219" max="9219" width="9.42578125" style="1208" customWidth="1"/>
    <col min="9220" max="9222" width="11" style="1208" customWidth="1"/>
    <col min="9223" max="9223" width="17" style="1208" customWidth="1"/>
    <col min="9224" max="9224" width="11" style="1208" customWidth="1"/>
    <col min="9225" max="9225" width="9.42578125" style="1208" customWidth="1"/>
    <col min="9226" max="9226" width="12.85546875" style="1208" customWidth="1"/>
    <col min="9227" max="9227" width="30" style="1208" bestFit="1" customWidth="1"/>
    <col min="9228" max="9472" width="9.140625" style="1208"/>
    <col min="9473" max="9473" width="5.85546875" style="1208" customWidth="1"/>
    <col min="9474" max="9474" width="52.42578125" style="1208" customWidth="1"/>
    <col min="9475" max="9475" width="9.42578125" style="1208" customWidth="1"/>
    <col min="9476" max="9478" width="11" style="1208" customWidth="1"/>
    <col min="9479" max="9479" width="17" style="1208" customWidth="1"/>
    <col min="9480" max="9480" width="11" style="1208" customWidth="1"/>
    <col min="9481" max="9481" width="9.42578125" style="1208" customWidth="1"/>
    <col min="9482" max="9482" width="12.85546875" style="1208" customWidth="1"/>
    <col min="9483" max="9483" width="30" style="1208" bestFit="1" customWidth="1"/>
    <col min="9484" max="9728" width="9.140625" style="1208"/>
    <col min="9729" max="9729" width="5.85546875" style="1208" customWidth="1"/>
    <col min="9730" max="9730" width="52.42578125" style="1208" customWidth="1"/>
    <col min="9731" max="9731" width="9.42578125" style="1208" customWidth="1"/>
    <col min="9732" max="9734" width="11" style="1208" customWidth="1"/>
    <col min="9735" max="9735" width="17" style="1208" customWidth="1"/>
    <col min="9736" max="9736" width="11" style="1208" customWidth="1"/>
    <col min="9737" max="9737" width="9.42578125" style="1208" customWidth="1"/>
    <col min="9738" max="9738" width="12.85546875" style="1208" customWidth="1"/>
    <col min="9739" max="9739" width="30" style="1208" bestFit="1" customWidth="1"/>
    <col min="9740" max="9984" width="9.140625" style="1208"/>
    <col min="9985" max="9985" width="5.85546875" style="1208" customWidth="1"/>
    <col min="9986" max="9986" width="52.42578125" style="1208" customWidth="1"/>
    <col min="9987" max="9987" width="9.42578125" style="1208" customWidth="1"/>
    <col min="9988" max="9990" width="11" style="1208" customWidth="1"/>
    <col min="9991" max="9991" width="17" style="1208" customWidth="1"/>
    <col min="9992" max="9992" width="11" style="1208" customWidth="1"/>
    <col min="9993" max="9993" width="9.42578125" style="1208" customWidth="1"/>
    <col min="9994" max="9994" width="12.85546875" style="1208" customWidth="1"/>
    <col min="9995" max="9995" width="30" style="1208" bestFit="1" customWidth="1"/>
    <col min="9996" max="10240" width="9.140625" style="1208"/>
    <col min="10241" max="10241" width="5.85546875" style="1208" customWidth="1"/>
    <col min="10242" max="10242" width="52.42578125" style="1208" customWidth="1"/>
    <col min="10243" max="10243" width="9.42578125" style="1208" customWidth="1"/>
    <col min="10244" max="10246" width="11" style="1208" customWidth="1"/>
    <col min="10247" max="10247" width="17" style="1208" customWidth="1"/>
    <col min="10248" max="10248" width="11" style="1208" customWidth="1"/>
    <col min="10249" max="10249" width="9.42578125" style="1208" customWidth="1"/>
    <col min="10250" max="10250" width="12.85546875" style="1208" customWidth="1"/>
    <col min="10251" max="10251" width="30" style="1208" bestFit="1" customWidth="1"/>
    <col min="10252" max="10496" width="9.140625" style="1208"/>
    <col min="10497" max="10497" width="5.85546875" style="1208" customWidth="1"/>
    <col min="10498" max="10498" width="52.42578125" style="1208" customWidth="1"/>
    <col min="10499" max="10499" width="9.42578125" style="1208" customWidth="1"/>
    <col min="10500" max="10502" width="11" style="1208" customWidth="1"/>
    <col min="10503" max="10503" width="17" style="1208" customWidth="1"/>
    <col min="10504" max="10504" width="11" style="1208" customWidth="1"/>
    <col min="10505" max="10505" width="9.42578125" style="1208" customWidth="1"/>
    <col min="10506" max="10506" width="12.85546875" style="1208" customWidth="1"/>
    <col min="10507" max="10507" width="30" style="1208" bestFit="1" customWidth="1"/>
    <col min="10508" max="10752" width="9.140625" style="1208"/>
    <col min="10753" max="10753" width="5.85546875" style="1208" customWidth="1"/>
    <col min="10754" max="10754" width="52.42578125" style="1208" customWidth="1"/>
    <col min="10755" max="10755" width="9.42578125" style="1208" customWidth="1"/>
    <col min="10756" max="10758" width="11" style="1208" customWidth="1"/>
    <col min="10759" max="10759" width="17" style="1208" customWidth="1"/>
    <col min="10760" max="10760" width="11" style="1208" customWidth="1"/>
    <col min="10761" max="10761" width="9.42578125" style="1208" customWidth="1"/>
    <col min="10762" max="10762" width="12.85546875" style="1208" customWidth="1"/>
    <col min="10763" max="10763" width="30" style="1208" bestFit="1" customWidth="1"/>
    <col min="10764" max="11008" width="9.140625" style="1208"/>
    <col min="11009" max="11009" width="5.85546875" style="1208" customWidth="1"/>
    <col min="11010" max="11010" width="52.42578125" style="1208" customWidth="1"/>
    <col min="11011" max="11011" width="9.42578125" style="1208" customWidth="1"/>
    <col min="11012" max="11014" width="11" style="1208" customWidth="1"/>
    <col min="11015" max="11015" width="17" style="1208" customWidth="1"/>
    <col min="11016" max="11016" width="11" style="1208" customWidth="1"/>
    <col min="11017" max="11017" width="9.42578125" style="1208" customWidth="1"/>
    <col min="11018" max="11018" width="12.85546875" style="1208" customWidth="1"/>
    <col min="11019" max="11019" width="30" style="1208" bestFit="1" customWidth="1"/>
    <col min="11020" max="11264" width="9.140625" style="1208"/>
    <col min="11265" max="11265" width="5.85546875" style="1208" customWidth="1"/>
    <col min="11266" max="11266" width="52.42578125" style="1208" customWidth="1"/>
    <col min="11267" max="11267" width="9.42578125" style="1208" customWidth="1"/>
    <col min="11268" max="11270" width="11" style="1208" customWidth="1"/>
    <col min="11271" max="11271" width="17" style="1208" customWidth="1"/>
    <col min="11272" max="11272" width="11" style="1208" customWidth="1"/>
    <col min="11273" max="11273" width="9.42578125" style="1208" customWidth="1"/>
    <col min="11274" max="11274" width="12.85546875" style="1208" customWidth="1"/>
    <col min="11275" max="11275" width="30" style="1208" bestFit="1" customWidth="1"/>
    <col min="11276" max="11520" width="9.140625" style="1208"/>
    <col min="11521" max="11521" width="5.85546875" style="1208" customWidth="1"/>
    <col min="11522" max="11522" width="52.42578125" style="1208" customWidth="1"/>
    <col min="11523" max="11523" width="9.42578125" style="1208" customWidth="1"/>
    <col min="11524" max="11526" width="11" style="1208" customWidth="1"/>
    <col min="11527" max="11527" width="17" style="1208" customWidth="1"/>
    <col min="11528" max="11528" width="11" style="1208" customWidth="1"/>
    <col min="11529" max="11529" width="9.42578125" style="1208" customWidth="1"/>
    <col min="11530" max="11530" width="12.85546875" style="1208" customWidth="1"/>
    <col min="11531" max="11531" width="30" style="1208" bestFit="1" customWidth="1"/>
    <col min="11532" max="11776" width="9.140625" style="1208"/>
    <col min="11777" max="11777" width="5.85546875" style="1208" customWidth="1"/>
    <col min="11778" max="11778" width="52.42578125" style="1208" customWidth="1"/>
    <col min="11779" max="11779" width="9.42578125" style="1208" customWidth="1"/>
    <col min="11780" max="11782" width="11" style="1208" customWidth="1"/>
    <col min="11783" max="11783" width="17" style="1208" customWidth="1"/>
    <col min="11784" max="11784" width="11" style="1208" customWidth="1"/>
    <col min="11785" max="11785" width="9.42578125" style="1208" customWidth="1"/>
    <col min="11786" max="11786" width="12.85546875" style="1208" customWidth="1"/>
    <col min="11787" max="11787" width="30" style="1208" bestFit="1" customWidth="1"/>
    <col min="11788" max="12032" width="9.140625" style="1208"/>
    <col min="12033" max="12033" width="5.85546875" style="1208" customWidth="1"/>
    <col min="12034" max="12034" width="52.42578125" style="1208" customWidth="1"/>
    <col min="12035" max="12035" width="9.42578125" style="1208" customWidth="1"/>
    <col min="12036" max="12038" width="11" style="1208" customWidth="1"/>
    <col min="12039" max="12039" width="17" style="1208" customWidth="1"/>
    <col min="12040" max="12040" width="11" style="1208" customWidth="1"/>
    <col min="12041" max="12041" width="9.42578125" style="1208" customWidth="1"/>
    <col min="12042" max="12042" width="12.85546875" style="1208" customWidth="1"/>
    <col min="12043" max="12043" width="30" style="1208" bestFit="1" customWidth="1"/>
    <col min="12044" max="12288" width="9.140625" style="1208"/>
    <col min="12289" max="12289" width="5.85546875" style="1208" customWidth="1"/>
    <col min="12290" max="12290" width="52.42578125" style="1208" customWidth="1"/>
    <col min="12291" max="12291" width="9.42578125" style="1208" customWidth="1"/>
    <col min="12292" max="12294" width="11" style="1208" customWidth="1"/>
    <col min="12295" max="12295" width="17" style="1208" customWidth="1"/>
    <col min="12296" max="12296" width="11" style="1208" customWidth="1"/>
    <col min="12297" max="12297" width="9.42578125" style="1208" customWidth="1"/>
    <col min="12298" max="12298" width="12.85546875" style="1208" customWidth="1"/>
    <col min="12299" max="12299" width="30" style="1208" bestFit="1" customWidth="1"/>
    <col min="12300" max="12544" width="9.140625" style="1208"/>
    <col min="12545" max="12545" width="5.85546875" style="1208" customWidth="1"/>
    <col min="12546" max="12546" width="52.42578125" style="1208" customWidth="1"/>
    <col min="12547" max="12547" width="9.42578125" style="1208" customWidth="1"/>
    <col min="12548" max="12550" width="11" style="1208" customWidth="1"/>
    <col min="12551" max="12551" width="17" style="1208" customWidth="1"/>
    <col min="12552" max="12552" width="11" style="1208" customWidth="1"/>
    <col min="12553" max="12553" width="9.42578125" style="1208" customWidth="1"/>
    <col min="12554" max="12554" width="12.85546875" style="1208" customWidth="1"/>
    <col min="12555" max="12555" width="30" style="1208" bestFit="1" customWidth="1"/>
    <col min="12556" max="12800" width="9.140625" style="1208"/>
    <col min="12801" max="12801" width="5.85546875" style="1208" customWidth="1"/>
    <col min="12802" max="12802" width="52.42578125" style="1208" customWidth="1"/>
    <col min="12803" max="12803" width="9.42578125" style="1208" customWidth="1"/>
    <col min="12804" max="12806" width="11" style="1208" customWidth="1"/>
    <col min="12807" max="12807" width="17" style="1208" customWidth="1"/>
    <col min="12808" max="12808" width="11" style="1208" customWidth="1"/>
    <col min="12809" max="12809" width="9.42578125" style="1208" customWidth="1"/>
    <col min="12810" max="12810" width="12.85546875" style="1208" customWidth="1"/>
    <col min="12811" max="12811" width="30" style="1208" bestFit="1" customWidth="1"/>
    <col min="12812" max="13056" width="9.140625" style="1208"/>
    <col min="13057" max="13057" width="5.85546875" style="1208" customWidth="1"/>
    <col min="13058" max="13058" width="52.42578125" style="1208" customWidth="1"/>
    <col min="13059" max="13059" width="9.42578125" style="1208" customWidth="1"/>
    <col min="13060" max="13062" width="11" style="1208" customWidth="1"/>
    <col min="13063" max="13063" width="17" style="1208" customWidth="1"/>
    <col min="13064" max="13064" width="11" style="1208" customWidth="1"/>
    <col min="13065" max="13065" width="9.42578125" style="1208" customWidth="1"/>
    <col min="13066" max="13066" width="12.85546875" style="1208" customWidth="1"/>
    <col min="13067" max="13067" width="30" style="1208" bestFit="1" customWidth="1"/>
    <col min="13068" max="13312" width="9.140625" style="1208"/>
    <col min="13313" max="13313" width="5.85546875" style="1208" customWidth="1"/>
    <col min="13314" max="13314" width="52.42578125" style="1208" customWidth="1"/>
    <col min="13315" max="13315" width="9.42578125" style="1208" customWidth="1"/>
    <col min="13316" max="13318" width="11" style="1208" customWidth="1"/>
    <col min="13319" max="13319" width="17" style="1208" customWidth="1"/>
    <col min="13320" max="13320" width="11" style="1208" customWidth="1"/>
    <col min="13321" max="13321" width="9.42578125" style="1208" customWidth="1"/>
    <col min="13322" max="13322" width="12.85546875" style="1208" customWidth="1"/>
    <col min="13323" max="13323" width="30" style="1208" bestFit="1" customWidth="1"/>
    <col min="13324" max="13568" width="9.140625" style="1208"/>
    <col min="13569" max="13569" width="5.85546875" style="1208" customWidth="1"/>
    <col min="13570" max="13570" width="52.42578125" style="1208" customWidth="1"/>
    <col min="13571" max="13571" width="9.42578125" style="1208" customWidth="1"/>
    <col min="13572" max="13574" width="11" style="1208" customWidth="1"/>
    <col min="13575" max="13575" width="17" style="1208" customWidth="1"/>
    <col min="13576" max="13576" width="11" style="1208" customWidth="1"/>
    <col min="13577" max="13577" width="9.42578125" style="1208" customWidth="1"/>
    <col min="13578" max="13578" width="12.85546875" style="1208" customWidth="1"/>
    <col min="13579" max="13579" width="30" style="1208" bestFit="1" customWidth="1"/>
    <col min="13580" max="13824" width="9.140625" style="1208"/>
    <col min="13825" max="13825" width="5.85546875" style="1208" customWidth="1"/>
    <col min="13826" max="13826" width="52.42578125" style="1208" customWidth="1"/>
    <col min="13827" max="13827" width="9.42578125" style="1208" customWidth="1"/>
    <col min="13828" max="13830" width="11" style="1208" customWidth="1"/>
    <col min="13831" max="13831" width="17" style="1208" customWidth="1"/>
    <col min="13832" max="13832" width="11" style="1208" customWidth="1"/>
    <col min="13833" max="13833" width="9.42578125" style="1208" customWidth="1"/>
    <col min="13834" max="13834" width="12.85546875" style="1208" customWidth="1"/>
    <col min="13835" max="13835" width="30" style="1208" bestFit="1" customWidth="1"/>
    <col min="13836" max="14080" width="9.140625" style="1208"/>
    <col min="14081" max="14081" width="5.85546875" style="1208" customWidth="1"/>
    <col min="14082" max="14082" width="52.42578125" style="1208" customWidth="1"/>
    <col min="14083" max="14083" width="9.42578125" style="1208" customWidth="1"/>
    <col min="14084" max="14086" width="11" style="1208" customWidth="1"/>
    <col min="14087" max="14087" width="17" style="1208" customWidth="1"/>
    <col min="14088" max="14088" width="11" style="1208" customWidth="1"/>
    <col min="14089" max="14089" width="9.42578125" style="1208" customWidth="1"/>
    <col min="14090" max="14090" width="12.85546875" style="1208" customWidth="1"/>
    <col min="14091" max="14091" width="30" style="1208" bestFit="1" customWidth="1"/>
    <col min="14092" max="14336" width="9.140625" style="1208"/>
    <col min="14337" max="14337" width="5.85546875" style="1208" customWidth="1"/>
    <col min="14338" max="14338" width="52.42578125" style="1208" customWidth="1"/>
    <col min="14339" max="14339" width="9.42578125" style="1208" customWidth="1"/>
    <col min="14340" max="14342" width="11" style="1208" customWidth="1"/>
    <col min="14343" max="14343" width="17" style="1208" customWidth="1"/>
    <col min="14344" max="14344" width="11" style="1208" customWidth="1"/>
    <col min="14345" max="14345" width="9.42578125" style="1208" customWidth="1"/>
    <col min="14346" max="14346" width="12.85546875" style="1208" customWidth="1"/>
    <col min="14347" max="14347" width="30" style="1208" bestFit="1" customWidth="1"/>
    <col min="14348" max="14592" width="9.140625" style="1208"/>
    <col min="14593" max="14593" width="5.85546875" style="1208" customWidth="1"/>
    <col min="14594" max="14594" width="52.42578125" style="1208" customWidth="1"/>
    <col min="14595" max="14595" width="9.42578125" style="1208" customWidth="1"/>
    <col min="14596" max="14598" width="11" style="1208" customWidth="1"/>
    <col min="14599" max="14599" width="17" style="1208" customWidth="1"/>
    <col min="14600" max="14600" width="11" style="1208" customWidth="1"/>
    <col min="14601" max="14601" width="9.42578125" style="1208" customWidth="1"/>
    <col min="14602" max="14602" width="12.85546875" style="1208" customWidth="1"/>
    <col min="14603" max="14603" width="30" style="1208" bestFit="1" customWidth="1"/>
    <col min="14604" max="14848" width="9.140625" style="1208"/>
    <col min="14849" max="14849" width="5.85546875" style="1208" customWidth="1"/>
    <col min="14850" max="14850" width="52.42578125" style="1208" customWidth="1"/>
    <col min="14851" max="14851" width="9.42578125" style="1208" customWidth="1"/>
    <col min="14852" max="14854" width="11" style="1208" customWidth="1"/>
    <col min="14855" max="14855" width="17" style="1208" customWidth="1"/>
    <col min="14856" max="14856" width="11" style="1208" customWidth="1"/>
    <col min="14857" max="14857" width="9.42578125" style="1208" customWidth="1"/>
    <col min="14858" max="14858" width="12.85546875" style="1208" customWidth="1"/>
    <col min="14859" max="14859" width="30" style="1208" bestFit="1" customWidth="1"/>
    <col min="14860" max="15104" width="9.140625" style="1208"/>
    <col min="15105" max="15105" width="5.85546875" style="1208" customWidth="1"/>
    <col min="15106" max="15106" width="52.42578125" style="1208" customWidth="1"/>
    <col min="15107" max="15107" width="9.42578125" style="1208" customWidth="1"/>
    <col min="15108" max="15110" width="11" style="1208" customWidth="1"/>
    <col min="15111" max="15111" width="17" style="1208" customWidth="1"/>
    <col min="15112" max="15112" width="11" style="1208" customWidth="1"/>
    <col min="15113" max="15113" width="9.42578125" style="1208" customWidth="1"/>
    <col min="15114" max="15114" width="12.85546875" style="1208" customWidth="1"/>
    <col min="15115" max="15115" width="30" style="1208" bestFit="1" customWidth="1"/>
    <col min="15116" max="15360" width="9.140625" style="1208"/>
    <col min="15361" max="15361" width="5.85546875" style="1208" customWidth="1"/>
    <col min="15362" max="15362" width="52.42578125" style="1208" customWidth="1"/>
    <col min="15363" max="15363" width="9.42578125" style="1208" customWidth="1"/>
    <col min="15364" max="15366" width="11" style="1208" customWidth="1"/>
    <col min="15367" max="15367" width="17" style="1208" customWidth="1"/>
    <col min="15368" max="15368" width="11" style="1208" customWidth="1"/>
    <col min="15369" max="15369" width="9.42578125" style="1208" customWidth="1"/>
    <col min="15370" max="15370" width="12.85546875" style="1208" customWidth="1"/>
    <col min="15371" max="15371" width="30" style="1208" bestFit="1" customWidth="1"/>
    <col min="15372" max="15616" width="9.140625" style="1208"/>
    <col min="15617" max="15617" width="5.85546875" style="1208" customWidth="1"/>
    <col min="15618" max="15618" width="52.42578125" style="1208" customWidth="1"/>
    <col min="15619" max="15619" width="9.42578125" style="1208" customWidth="1"/>
    <col min="15620" max="15622" width="11" style="1208" customWidth="1"/>
    <col min="15623" max="15623" width="17" style="1208" customWidth="1"/>
    <col min="15624" max="15624" width="11" style="1208" customWidth="1"/>
    <col min="15625" max="15625" width="9.42578125" style="1208" customWidth="1"/>
    <col min="15626" max="15626" width="12.85546875" style="1208" customWidth="1"/>
    <col min="15627" max="15627" width="30" style="1208" bestFit="1" customWidth="1"/>
    <col min="15628" max="15872" width="9.140625" style="1208"/>
    <col min="15873" max="15873" width="5.85546875" style="1208" customWidth="1"/>
    <col min="15874" max="15874" width="52.42578125" style="1208" customWidth="1"/>
    <col min="15875" max="15875" width="9.42578125" style="1208" customWidth="1"/>
    <col min="15876" max="15878" width="11" style="1208" customWidth="1"/>
    <col min="15879" max="15879" width="17" style="1208" customWidth="1"/>
    <col min="15880" max="15880" width="11" style="1208" customWidth="1"/>
    <col min="15881" max="15881" width="9.42578125" style="1208" customWidth="1"/>
    <col min="15882" max="15882" width="12.85546875" style="1208" customWidth="1"/>
    <col min="15883" max="15883" width="30" style="1208" bestFit="1" customWidth="1"/>
    <col min="15884" max="16128" width="9.140625" style="1208"/>
    <col min="16129" max="16129" width="5.85546875" style="1208" customWidth="1"/>
    <col min="16130" max="16130" width="52.42578125" style="1208" customWidth="1"/>
    <col min="16131" max="16131" width="9.42578125" style="1208" customWidth="1"/>
    <col min="16132" max="16134" width="11" style="1208" customWidth="1"/>
    <col min="16135" max="16135" width="17" style="1208" customWidth="1"/>
    <col min="16136" max="16136" width="11" style="1208" customWidth="1"/>
    <col min="16137" max="16137" width="9.42578125" style="1208" customWidth="1"/>
    <col min="16138" max="16138" width="12.85546875" style="1208" customWidth="1"/>
    <col min="16139" max="16139" width="30" style="1208" bestFit="1" customWidth="1"/>
    <col min="16140" max="16384" width="9.140625" style="1208"/>
  </cols>
  <sheetData>
    <row r="1" spans="1:10" ht="21" customHeight="1" x14ac:dyDescent="0.25">
      <c r="A1" s="3264" t="str">
        <f>'[6]61'!A1:D1</f>
        <v>UBND XÃ/PHƯỜNG</v>
      </c>
      <c r="B1" s="3264"/>
      <c r="C1" s="3264"/>
      <c r="I1" s="3132" t="s">
        <v>979</v>
      </c>
      <c r="J1" s="3132"/>
    </row>
    <row r="2" spans="1:10" ht="18.75" x14ac:dyDescent="0.25">
      <c r="A2" s="3265" t="s">
        <v>980</v>
      </c>
      <c r="B2" s="3265"/>
      <c r="C2" s="3265"/>
      <c r="D2" s="3265"/>
      <c r="E2" s="3265"/>
      <c r="F2" s="3265"/>
      <c r="G2" s="3265"/>
      <c r="H2" s="3265"/>
      <c r="I2" s="3265"/>
      <c r="J2" s="3265"/>
    </row>
    <row r="3" spans="1:10" x14ac:dyDescent="0.25">
      <c r="A3" s="3266" t="s">
        <v>981</v>
      </c>
      <c r="B3" s="3266"/>
      <c r="C3" s="3266"/>
      <c r="D3" s="3266"/>
      <c r="E3" s="3266"/>
      <c r="F3" s="3266"/>
      <c r="G3" s="3266"/>
      <c r="H3" s="3266"/>
      <c r="I3" s="3266"/>
      <c r="J3" s="3266"/>
    </row>
    <row r="4" spans="1:10" x14ac:dyDescent="0.25">
      <c r="A4" s="1209"/>
      <c r="B4" s="1209"/>
      <c r="C4" s="1209"/>
      <c r="D4" s="1209"/>
      <c r="E4" s="1209"/>
      <c r="F4" s="1209"/>
      <c r="G4" s="1209"/>
      <c r="H4" s="1209"/>
      <c r="I4" s="1209"/>
      <c r="J4" s="1209"/>
    </row>
    <row r="5" spans="1:10" x14ac:dyDescent="0.25">
      <c r="A5" s="3267" t="s">
        <v>1187</v>
      </c>
      <c r="B5" s="3267"/>
      <c r="C5" s="3267"/>
      <c r="D5" s="3267"/>
      <c r="E5" s="3267"/>
      <c r="F5" s="3267"/>
      <c r="G5" s="3267"/>
      <c r="H5" s="3267"/>
      <c r="I5" s="3267"/>
      <c r="J5" s="3267"/>
    </row>
    <row r="6" spans="1:10" s="283" customFormat="1" ht="28.5" customHeight="1" x14ac:dyDescent="0.25">
      <c r="A6" s="3262" t="s">
        <v>0</v>
      </c>
      <c r="B6" s="3262" t="s">
        <v>110</v>
      </c>
      <c r="C6" s="3269" t="s">
        <v>983</v>
      </c>
      <c r="D6" s="3269"/>
      <c r="E6" s="3269" t="s">
        <v>984</v>
      </c>
      <c r="F6" s="3269"/>
      <c r="G6" s="3269"/>
      <c r="H6" s="3269"/>
      <c r="I6" s="3269" t="s">
        <v>111</v>
      </c>
      <c r="J6" s="3269"/>
    </row>
    <row r="7" spans="1:10" s="283" customFormat="1" ht="24" customHeight="1" x14ac:dyDescent="0.25">
      <c r="A7" s="3268"/>
      <c r="B7" s="3268"/>
      <c r="C7" s="3262" t="s">
        <v>985</v>
      </c>
      <c r="D7" s="3262" t="s">
        <v>986</v>
      </c>
      <c r="E7" s="3262" t="s">
        <v>112</v>
      </c>
      <c r="F7" s="3270" t="s">
        <v>88</v>
      </c>
      <c r="G7" s="3271"/>
      <c r="H7" s="3272"/>
      <c r="I7" s="3262" t="s">
        <v>985</v>
      </c>
      <c r="J7" s="3262" t="s">
        <v>986</v>
      </c>
    </row>
    <row r="8" spans="1:10" s="283" customFormat="1" ht="77.25" customHeight="1" x14ac:dyDescent="0.25">
      <c r="A8" s="3263"/>
      <c r="B8" s="3263"/>
      <c r="C8" s="3263"/>
      <c r="D8" s="3263"/>
      <c r="E8" s="3263"/>
      <c r="F8" s="1211" t="s">
        <v>586</v>
      </c>
      <c r="G8" s="1211" t="s">
        <v>987</v>
      </c>
      <c r="H8" s="1211" t="s">
        <v>988</v>
      </c>
      <c r="I8" s="3263"/>
      <c r="J8" s="3263"/>
    </row>
    <row r="9" spans="1:10" s="1214" customFormat="1" ht="32.25" customHeight="1" x14ac:dyDescent="0.25">
      <c r="A9" s="1212" t="s">
        <v>3</v>
      </c>
      <c r="B9" s="1212" t="s">
        <v>4</v>
      </c>
      <c r="C9" s="1213" t="s">
        <v>989</v>
      </c>
      <c r="D9" s="1213" t="s">
        <v>990</v>
      </c>
      <c r="E9" s="1212" t="s">
        <v>991</v>
      </c>
      <c r="F9" s="1213" t="s">
        <v>992</v>
      </c>
      <c r="G9" s="1213" t="s">
        <v>993</v>
      </c>
      <c r="H9" s="1213" t="s">
        <v>994</v>
      </c>
      <c r="I9" s="1212" t="s">
        <v>995</v>
      </c>
      <c r="J9" s="1212" t="s">
        <v>996</v>
      </c>
    </row>
    <row r="10" spans="1:10" ht="20.25" customHeight="1" x14ac:dyDescent="0.25">
      <c r="A10" s="1210" t="s">
        <v>3</v>
      </c>
      <c r="B10" s="1215" t="s">
        <v>113</v>
      </c>
      <c r="C10" s="1216"/>
      <c r="D10" s="1216"/>
      <c r="E10" s="1216"/>
      <c r="F10" s="1216"/>
      <c r="G10" s="1216"/>
      <c r="H10" s="1216"/>
      <c r="I10" s="1216"/>
      <c r="J10" s="1216"/>
    </row>
    <row r="11" spans="1:10" ht="20.25" customHeight="1" x14ac:dyDescent="0.25">
      <c r="A11" s="1210" t="s">
        <v>5</v>
      </c>
      <c r="B11" s="1215" t="s">
        <v>24</v>
      </c>
      <c r="C11" s="1216"/>
      <c r="D11" s="1216"/>
      <c r="E11" s="1216"/>
      <c r="F11" s="1216"/>
      <c r="G11" s="1216"/>
      <c r="H11" s="1216"/>
      <c r="I11" s="1216"/>
      <c r="J11" s="1216"/>
    </row>
    <row r="12" spans="1:10" ht="31.5" x14ac:dyDescent="0.25">
      <c r="A12" s="1217"/>
      <c r="B12" s="1218" t="s">
        <v>997</v>
      </c>
      <c r="C12" s="1217"/>
      <c r="D12" s="1217"/>
      <c r="E12" s="1217"/>
      <c r="F12" s="1217"/>
      <c r="G12" s="1217"/>
      <c r="H12" s="1217"/>
      <c r="I12" s="1217"/>
      <c r="J12" s="1217"/>
    </row>
    <row r="13" spans="1:10" s="1219" customFormat="1" x14ac:dyDescent="0.25">
      <c r="A13" s="1217">
        <v>1</v>
      </c>
      <c r="B13" s="1218" t="s">
        <v>998</v>
      </c>
      <c r="C13" s="1217"/>
      <c r="D13" s="1217"/>
      <c r="E13" s="1217"/>
      <c r="F13" s="1217"/>
      <c r="G13" s="1217"/>
      <c r="H13" s="1217"/>
      <c r="I13" s="1217"/>
      <c r="J13" s="1217"/>
    </row>
    <row r="14" spans="1:10" s="835" customFormat="1" x14ac:dyDescent="0.25">
      <c r="A14" s="1216" t="s">
        <v>7</v>
      </c>
      <c r="B14" s="1220" t="s">
        <v>999</v>
      </c>
      <c r="C14" s="1216"/>
      <c r="D14" s="1216"/>
      <c r="E14" s="1216"/>
      <c r="F14" s="1216"/>
      <c r="G14" s="1216"/>
      <c r="H14" s="1216"/>
      <c r="I14" s="1216"/>
      <c r="J14" s="1216"/>
    </row>
    <row r="15" spans="1:10" x14ac:dyDescent="0.25">
      <c r="A15" s="1216" t="s">
        <v>1000</v>
      </c>
      <c r="B15" s="1220" t="s">
        <v>1001</v>
      </c>
      <c r="C15" s="1216"/>
      <c r="D15" s="1216"/>
      <c r="E15" s="1216"/>
      <c r="F15" s="1216"/>
      <c r="G15" s="1216"/>
      <c r="H15" s="1216"/>
      <c r="I15" s="1216"/>
      <c r="J15" s="1216"/>
    </row>
    <row r="16" spans="1:10" x14ac:dyDescent="0.25">
      <c r="A16" s="1216" t="s">
        <v>514</v>
      </c>
      <c r="B16" s="1220" t="s">
        <v>1002</v>
      </c>
      <c r="C16" s="1216"/>
      <c r="D16" s="1216"/>
      <c r="E16" s="1216"/>
      <c r="F16" s="1216"/>
      <c r="G16" s="1216"/>
      <c r="H16" s="1216"/>
      <c r="I16" s="1216"/>
      <c r="J16" s="1216"/>
    </row>
    <row r="17" spans="1:10" x14ac:dyDescent="0.25">
      <c r="A17" s="1216" t="s">
        <v>1000</v>
      </c>
      <c r="B17" s="1220" t="s">
        <v>1003</v>
      </c>
      <c r="C17" s="1216"/>
      <c r="D17" s="1216"/>
      <c r="E17" s="1216"/>
      <c r="F17" s="1216"/>
      <c r="G17" s="1216"/>
      <c r="H17" s="1216"/>
      <c r="I17" s="1216"/>
      <c r="J17" s="1216"/>
    </row>
    <row r="18" spans="1:10" x14ac:dyDescent="0.25">
      <c r="A18" s="1216"/>
      <c r="B18" s="1220" t="s">
        <v>1004</v>
      </c>
      <c r="C18" s="1216"/>
      <c r="D18" s="1216"/>
      <c r="E18" s="1216"/>
      <c r="F18" s="1216"/>
      <c r="G18" s="1216"/>
      <c r="H18" s="1216"/>
      <c r="I18" s="1216"/>
      <c r="J18" s="1216"/>
    </row>
    <row r="19" spans="1:10" x14ac:dyDescent="0.25">
      <c r="A19" s="1216" t="s">
        <v>38</v>
      </c>
      <c r="B19" s="1220" t="s">
        <v>502</v>
      </c>
      <c r="C19" s="1216"/>
      <c r="D19" s="1216"/>
      <c r="E19" s="1216"/>
      <c r="F19" s="1216"/>
      <c r="G19" s="1216"/>
      <c r="H19" s="1216"/>
      <c r="I19" s="1216"/>
      <c r="J19" s="1216"/>
    </row>
    <row r="20" spans="1:10" x14ac:dyDescent="0.25">
      <c r="A20" s="1216"/>
      <c r="B20" s="1220"/>
      <c r="C20" s="1216"/>
      <c r="D20" s="1216"/>
      <c r="E20" s="1216"/>
      <c r="F20" s="1216"/>
      <c r="G20" s="1216"/>
      <c r="H20" s="1216"/>
      <c r="I20" s="1216"/>
      <c r="J20" s="1216"/>
    </row>
    <row r="21" spans="1:10" s="1219" customFormat="1" x14ac:dyDescent="0.25">
      <c r="A21" s="1217">
        <v>2</v>
      </c>
      <c r="B21" s="1218" t="s">
        <v>1005</v>
      </c>
      <c r="C21" s="1217"/>
      <c r="D21" s="1217"/>
      <c r="E21" s="1217"/>
      <c r="F21" s="1217"/>
      <c r="G21" s="1217"/>
      <c r="H21" s="1217"/>
      <c r="I21" s="1217"/>
      <c r="J21" s="1217"/>
    </row>
    <row r="22" spans="1:10" x14ac:dyDescent="0.25">
      <c r="A22" s="1216" t="s">
        <v>43</v>
      </c>
      <c r="B22" s="1220" t="s">
        <v>1006</v>
      </c>
      <c r="C22" s="1216"/>
      <c r="D22" s="1216"/>
      <c r="E22" s="1216"/>
      <c r="F22" s="1216"/>
      <c r="G22" s="1216"/>
      <c r="H22" s="1216"/>
      <c r="I22" s="1216"/>
      <c r="J22" s="1216"/>
    </row>
    <row r="23" spans="1:10" x14ac:dyDescent="0.25">
      <c r="A23" s="1216" t="s">
        <v>44</v>
      </c>
      <c r="B23" s="1220" t="s">
        <v>502</v>
      </c>
      <c r="C23" s="1216"/>
      <c r="D23" s="1216"/>
      <c r="E23" s="1216"/>
      <c r="F23" s="1216"/>
      <c r="G23" s="1216"/>
      <c r="H23" s="1216"/>
      <c r="I23" s="1216"/>
      <c r="J23" s="1216"/>
    </row>
    <row r="24" spans="1:10" s="1219" customFormat="1" x14ac:dyDescent="0.25">
      <c r="A24" s="1217">
        <v>3</v>
      </c>
      <c r="B24" s="1218" t="s">
        <v>1007</v>
      </c>
      <c r="C24" s="1217"/>
      <c r="D24" s="1217"/>
      <c r="E24" s="1217"/>
      <c r="F24" s="1217"/>
      <c r="G24" s="1217"/>
      <c r="H24" s="1217"/>
      <c r="I24" s="1217"/>
      <c r="J24" s="1217"/>
    </row>
    <row r="25" spans="1:10" x14ac:dyDescent="0.25">
      <c r="A25" s="1216"/>
      <c r="B25" s="1220" t="s">
        <v>1008</v>
      </c>
      <c r="C25" s="1216"/>
      <c r="D25" s="1216"/>
      <c r="E25" s="1216"/>
      <c r="F25" s="1216"/>
      <c r="G25" s="1216"/>
      <c r="H25" s="1216"/>
      <c r="I25" s="1216"/>
      <c r="J25" s="1216"/>
    </row>
    <row r="26" spans="1:10" s="1219" customFormat="1" ht="31.5" x14ac:dyDescent="0.25">
      <c r="A26" s="1217">
        <v>4</v>
      </c>
      <c r="B26" s="1221" t="s">
        <v>1009</v>
      </c>
      <c r="C26" s="1217"/>
      <c r="D26" s="1217"/>
      <c r="E26" s="1217"/>
      <c r="F26" s="1217"/>
      <c r="G26" s="1217"/>
      <c r="H26" s="1217"/>
      <c r="I26" s="1217"/>
      <c r="J26" s="1217"/>
    </row>
    <row r="27" spans="1:10" x14ac:dyDescent="0.25">
      <c r="A27" s="1216" t="s">
        <v>605</v>
      </c>
      <c r="B27" s="1220" t="s">
        <v>1006</v>
      </c>
      <c r="C27" s="1216"/>
      <c r="D27" s="1216"/>
      <c r="E27" s="1216"/>
      <c r="F27" s="1216"/>
      <c r="G27" s="1216"/>
      <c r="H27" s="1216"/>
      <c r="I27" s="1216"/>
      <c r="J27" s="1216"/>
    </row>
    <row r="28" spans="1:10" x14ac:dyDescent="0.25">
      <c r="A28" s="1216" t="s">
        <v>606</v>
      </c>
      <c r="B28" s="1220" t="s">
        <v>502</v>
      </c>
      <c r="C28" s="1216"/>
      <c r="D28" s="1216"/>
      <c r="E28" s="1216"/>
      <c r="F28" s="1216"/>
      <c r="G28" s="1216"/>
      <c r="H28" s="1216"/>
      <c r="I28" s="1216"/>
      <c r="J28" s="1216"/>
    </row>
    <row r="29" spans="1:10" s="1219" customFormat="1" ht="31.5" x14ac:dyDescent="0.25">
      <c r="A29" s="1217">
        <v>5</v>
      </c>
      <c r="B29" s="1218" t="s">
        <v>1010</v>
      </c>
      <c r="C29" s="1217"/>
      <c r="D29" s="1217"/>
      <c r="E29" s="1217"/>
      <c r="F29" s="1217"/>
      <c r="G29" s="1217"/>
      <c r="H29" s="1217"/>
      <c r="I29" s="1217"/>
      <c r="J29" s="1217"/>
    </row>
    <row r="30" spans="1:10" x14ac:dyDescent="0.25">
      <c r="A30" s="1216" t="s">
        <v>1011</v>
      </c>
      <c r="B30" s="1220" t="s">
        <v>1006</v>
      </c>
      <c r="C30" s="1216"/>
      <c r="D30" s="1216"/>
      <c r="E30" s="1216"/>
      <c r="F30" s="1216"/>
      <c r="G30" s="1216"/>
      <c r="H30" s="1216"/>
      <c r="I30" s="1216"/>
      <c r="J30" s="1216"/>
    </row>
    <row r="31" spans="1:10" x14ac:dyDescent="0.25">
      <c r="A31" s="1216"/>
      <c r="B31" s="1220" t="s">
        <v>1012</v>
      </c>
      <c r="C31" s="1216"/>
      <c r="D31" s="1216"/>
      <c r="E31" s="1216"/>
      <c r="F31" s="1216"/>
      <c r="G31" s="1216"/>
      <c r="H31" s="1216"/>
      <c r="I31" s="1216"/>
      <c r="J31" s="1216"/>
    </row>
    <row r="32" spans="1:10" x14ac:dyDescent="0.25">
      <c r="A32" s="1216"/>
      <c r="B32" s="1220" t="s">
        <v>1004</v>
      </c>
      <c r="C32" s="1216"/>
      <c r="D32" s="1216"/>
      <c r="E32" s="1216"/>
      <c r="F32" s="1216"/>
      <c r="G32" s="1216"/>
      <c r="H32" s="1216"/>
      <c r="I32" s="1216"/>
      <c r="J32" s="1216"/>
    </row>
    <row r="33" spans="1:10" x14ac:dyDescent="0.25">
      <c r="A33" s="1216" t="s">
        <v>1013</v>
      </c>
      <c r="B33" s="1220" t="s">
        <v>502</v>
      </c>
      <c r="C33" s="1216"/>
      <c r="D33" s="1216"/>
      <c r="E33" s="1216"/>
      <c r="F33" s="1216"/>
      <c r="G33" s="1216"/>
      <c r="H33" s="1216"/>
      <c r="I33" s="1216"/>
      <c r="J33" s="1216"/>
    </row>
    <row r="34" spans="1:10" x14ac:dyDescent="0.25">
      <c r="A34" s="1216"/>
      <c r="B34" s="1220" t="s">
        <v>1014</v>
      </c>
      <c r="C34" s="1216"/>
      <c r="D34" s="1216"/>
      <c r="E34" s="1216"/>
      <c r="F34" s="1216"/>
      <c r="G34" s="1216"/>
      <c r="H34" s="1216"/>
      <c r="I34" s="1216"/>
      <c r="J34" s="1216"/>
    </row>
    <row r="35" spans="1:10" x14ac:dyDescent="0.25">
      <c r="A35" s="1216"/>
      <c r="B35" s="1220" t="s">
        <v>1004</v>
      </c>
      <c r="C35" s="1216"/>
      <c r="D35" s="1216"/>
      <c r="E35" s="1216"/>
      <c r="F35" s="1216"/>
      <c r="G35" s="1216"/>
      <c r="H35" s="1216"/>
      <c r="I35" s="1216"/>
      <c r="J35" s="1216"/>
    </row>
    <row r="36" spans="1:10" s="283" customFormat="1" ht="57.75" customHeight="1" x14ac:dyDescent="0.25">
      <c r="A36" s="1210">
        <v>6</v>
      </c>
      <c r="B36" s="1222" t="s">
        <v>1015</v>
      </c>
      <c r="C36" s="1210"/>
      <c r="D36" s="1210"/>
      <c r="E36" s="1210"/>
      <c r="F36" s="1210"/>
      <c r="G36" s="1210"/>
      <c r="H36" s="1210"/>
      <c r="I36" s="1210"/>
      <c r="J36" s="1210"/>
    </row>
    <row r="37" spans="1:10" x14ac:dyDescent="0.25">
      <c r="A37" s="1216" t="s">
        <v>613</v>
      </c>
      <c r="B37" s="1223" t="s">
        <v>1016</v>
      </c>
      <c r="C37" s="1216"/>
      <c r="D37" s="1216"/>
      <c r="E37" s="1216"/>
      <c r="F37" s="1216"/>
      <c r="G37" s="1216"/>
      <c r="H37" s="1216"/>
      <c r="I37" s="1216"/>
      <c r="J37" s="1216"/>
    </row>
    <row r="38" spans="1:10" x14ac:dyDescent="0.25">
      <c r="A38" s="1216"/>
      <c r="B38" s="1223" t="s">
        <v>679</v>
      </c>
      <c r="C38" s="1216"/>
      <c r="D38" s="1216"/>
      <c r="E38" s="1216"/>
      <c r="F38" s="1216"/>
      <c r="G38" s="1216"/>
      <c r="H38" s="1216"/>
      <c r="I38" s="1216"/>
      <c r="J38" s="1216"/>
    </row>
    <row r="39" spans="1:10" ht="18.75" customHeight="1" x14ac:dyDescent="0.25">
      <c r="A39" s="1216"/>
      <c r="B39" s="1223" t="s">
        <v>1017</v>
      </c>
      <c r="C39" s="1216"/>
      <c r="D39" s="1216"/>
      <c r="E39" s="1216"/>
      <c r="F39" s="1216"/>
      <c r="G39" s="1216"/>
      <c r="H39" s="1216"/>
      <c r="I39" s="1216"/>
      <c r="J39" s="1216"/>
    </row>
    <row r="40" spans="1:10" ht="31.5" x14ac:dyDescent="0.25">
      <c r="A40" s="1216"/>
      <c r="B40" s="1223" t="s">
        <v>1018</v>
      </c>
      <c r="C40" s="1216"/>
      <c r="D40" s="1216"/>
      <c r="E40" s="1216"/>
      <c r="F40" s="1216"/>
      <c r="G40" s="1216"/>
      <c r="H40" s="1216"/>
      <c r="I40" s="1216"/>
      <c r="J40" s="1216"/>
    </row>
    <row r="41" spans="1:10" ht="31.5" x14ac:dyDescent="0.25">
      <c r="A41" s="1216" t="s">
        <v>614</v>
      </c>
      <c r="B41" s="1223" t="s">
        <v>1019</v>
      </c>
      <c r="C41" s="1216"/>
      <c r="D41" s="1216"/>
      <c r="E41" s="1216"/>
      <c r="F41" s="1216"/>
      <c r="G41" s="1216"/>
      <c r="H41" s="1216"/>
      <c r="I41" s="1216"/>
      <c r="J41" s="1216"/>
    </row>
    <row r="42" spans="1:10" x14ac:dyDescent="0.25">
      <c r="A42" s="1216" t="s">
        <v>1020</v>
      </c>
      <c r="B42" s="1223" t="s">
        <v>1021</v>
      </c>
      <c r="C42" s="1216"/>
      <c r="D42" s="1216"/>
      <c r="E42" s="1216"/>
      <c r="F42" s="1216"/>
      <c r="G42" s="1216"/>
      <c r="H42" s="1216"/>
      <c r="I42" s="1216"/>
      <c r="J42" s="1216"/>
    </row>
    <row r="43" spans="1:10" x14ac:dyDescent="0.25">
      <c r="A43" s="1216"/>
      <c r="B43" s="1220" t="s">
        <v>1004</v>
      </c>
      <c r="C43" s="1216"/>
      <c r="D43" s="1216"/>
      <c r="E43" s="1216"/>
      <c r="F43" s="1216"/>
      <c r="G43" s="1216"/>
      <c r="H43" s="1216"/>
      <c r="I43" s="1216"/>
      <c r="J43" s="1216"/>
    </row>
    <row r="44" spans="1:10" ht="31.5" x14ac:dyDescent="0.25">
      <c r="A44" s="1217"/>
      <c r="B44" s="1218" t="s">
        <v>1022</v>
      </c>
      <c r="C44" s="1224"/>
      <c r="D44" s="1224"/>
      <c r="E44" s="1224"/>
      <c r="F44" s="1224"/>
      <c r="G44" s="1224"/>
      <c r="H44" s="1224"/>
      <c r="I44" s="1224"/>
      <c r="J44" s="1224"/>
    </row>
    <row r="45" spans="1:10" x14ac:dyDescent="0.25">
      <c r="A45" s="1216">
        <v>1</v>
      </c>
      <c r="B45" s="1220" t="s">
        <v>71</v>
      </c>
      <c r="C45" s="1216"/>
      <c r="D45" s="1216"/>
      <c r="E45" s="1216"/>
      <c r="F45" s="1216"/>
      <c r="G45" s="1216"/>
      <c r="H45" s="1216"/>
      <c r="I45" s="1216"/>
      <c r="J45" s="1216"/>
    </row>
    <row r="46" spans="1:10" x14ac:dyDescent="0.25">
      <c r="A46" s="1216">
        <v>2</v>
      </c>
      <c r="B46" s="1220" t="s">
        <v>80</v>
      </c>
      <c r="C46" s="1216"/>
      <c r="D46" s="1216"/>
      <c r="E46" s="1216"/>
      <c r="F46" s="1216"/>
      <c r="G46" s="1216"/>
      <c r="H46" s="1216"/>
      <c r="I46" s="1216"/>
      <c r="J46" s="1216"/>
    </row>
    <row r="47" spans="1:10" x14ac:dyDescent="0.25">
      <c r="A47" s="1216">
        <v>3</v>
      </c>
      <c r="B47" s="1220" t="s">
        <v>114</v>
      </c>
      <c r="C47" s="1216"/>
      <c r="D47" s="1216"/>
      <c r="E47" s="1216"/>
      <c r="F47" s="1216"/>
      <c r="G47" s="1216"/>
      <c r="H47" s="1216"/>
      <c r="I47" s="1216"/>
      <c r="J47" s="1216"/>
    </row>
    <row r="48" spans="1:10" x14ac:dyDescent="0.25">
      <c r="A48" s="1216">
        <v>4</v>
      </c>
      <c r="B48" s="1220" t="s">
        <v>115</v>
      </c>
      <c r="C48" s="1216"/>
      <c r="D48" s="1216"/>
      <c r="E48" s="1216"/>
      <c r="F48" s="1216"/>
      <c r="G48" s="1216"/>
      <c r="H48" s="1216"/>
      <c r="I48" s="1216"/>
      <c r="J48" s="1216"/>
    </row>
    <row r="49" spans="1:10" x14ac:dyDescent="0.25">
      <c r="A49" s="1216">
        <v>5</v>
      </c>
      <c r="B49" s="1220" t="s">
        <v>116</v>
      </c>
      <c r="C49" s="1216"/>
      <c r="D49" s="1216"/>
      <c r="E49" s="1216"/>
      <c r="F49" s="1216"/>
      <c r="G49" s="1216"/>
      <c r="H49" s="1216"/>
      <c r="I49" s="1216"/>
      <c r="J49" s="1216"/>
    </row>
    <row r="50" spans="1:10" x14ac:dyDescent="0.25">
      <c r="A50" s="1216">
        <v>6</v>
      </c>
      <c r="B50" s="1220" t="s">
        <v>117</v>
      </c>
      <c r="C50" s="1216"/>
      <c r="D50" s="1216"/>
      <c r="E50" s="1216"/>
      <c r="F50" s="1216"/>
      <c r="G50" s="1216"/>
      <c r="H50" s="1216"/>
      <c r="I50" s="1216"/>
      <c r="J50" s="1216"/>
    </row>
    <row r="51" spans="1:10" s="1219" customFormat="1" x14ac:dyDescent="0.25">
      <c r="A51" s="1216">
        <v>7</v>
      </c>
      <c r="B51" s="1220" t="s">
        <v>119</v>
      </c>
      <c r="C51" s="1216"/>
      <c r="D51" s="1216"/>
      <c r="E51" s="1216"/>
      <c r="F51" s="1216"/>
      <c r="G51" s="1216"/>
      <c r="H51" s="1216"/>
      <c r="I51" s="1216"/>
      <c r="J51" s="1216"/>
    </row>
    <row r="52" spans="1:10" x14ac:dyDescent="0.25">
      <c r="A52" s="1216">
        <v>8</v>
      </c>
      <c r="B52" s="1220" t="s">
        <v>121</v>
      </c>
      <c r="C52" s="1216"/>
      <c r="D52" s="1216"/>
      <c r="E52" s="1216"/>
      <c r="F52" s="1216"/>
      <c r="G52" s="1216"/>
      <c r="H52" s="1216"/>
      <c r="I52" s="1216"/>
      <c r="J52" s="1216"/>
    </row>
    <row r="53" spans="1:10" x14ac:dyDescent="0.25">
      <c r="A53" s="1216">
        <v>9</v>
      </c>
      <c r="B53" s="1220" t="s">
        <v>123</v>
      </c>
      <c r="C53" s="1216"/>
      <c r="D53" s="1216"/>
      <c r="E53" s="1216"/>
      <c r="F53" s="1216"/>
      <c r="G53" s="1216"/>
      <c r="H53" s="1216"/>
      <c r="I53" s="1216"/>
      <c r="J53" s="1216"/>
    </row>
    <row r="54" spans="1:10" x14ac:dyDescent="0.25">
      <c r="A54" s="1216">
        <v>10</v>
      </c>
      <c r="B54" s="1220" t="s">
        <v>82</v>
      </c>
      <c r="C54" s="1216"/>
      <c r="D54" s="1216"/>
      <c r="E54" s="1216"/>
      <c r="F54" s="1216"/>
      <c r="G54" s="1216"/>
      <c r="H54" s="1216"/>
      <c r="I54" s="1216"/>
      <c r="J54" s="1216"/>
    </row>
    <row r="55" spans="1:10" ht="31.5" x14ac:dyDescent="0.25">
      <c r="A55" s="1216">
        <v>11</v>
      </c>
      <c r="B55" s="1220" t="s">
        <v>32</v>
      </c>
      <c r="C55" s="1216"/>
      <c r="D55" s="1216"/>
      <c r="E55" s="1216"/>
      <c r="F55" s="1216"/>
      <c r="G55" s="1216"/>
      <c r="H55" s="1216"/>
      <c r="I55" s="1216"/>
      <c r="J55" s="1216"/>
    </row>
    <row r="56" spans="1:10" x14ac:dyDescent="0.25">
      <c r="A56" s="1216">
        <v>12</v>
      </c>
      <c r="B56" s="1220" t="s">
        <v>127</v>
      </c>
      <c r="C56" s="1216"/>
      <c r="D56" s="1216"/>
      <c r="E56" s="1216"/>
      <c r="F56" s="1216"/>
      <c r="G56" s="1216"/>
      <c r="H56" s="1216"/>
      <c r="I56" s="1216"/>
      <c r="J56" s="1216"/>
    </row>
    <row r="57" spans="1:10" x14ac:dyDescent="0.25">
      <c r="A57" s="1216">
        <v>13</v>
      </c>
      <c r="B57" s="1220" t="s">
        <v>1023</v>
      </c>
      <c r="C57" s="1216"/>
      <c r="D57" s="1216"/>
      <c r="E57" s="1216"/>
      <c r="F57" s="1216"/>
      <c r="G57" s="1216"/>
      <c r="H57" s="1216"/>
      <c r="I57" s="1216"/>
      <c r="J57" s="1216"/>
    </row>
    <row r="58" spans="1:10" ht="31.5" x14ac:dyDescent="0.25">
      <c r="A58" s="1210">
        <v>2</v>
      </c>
      <c r="B58" s="1215" t="s">
        <v>129</v>
      </c>
      <c r="C58" s="1216"/>
      <c r="D58" s="1216"/>
      <c r="E58" s="1216"/>
      <c r="F58" s="1216"/>
      <c r="G58" s="1216"/>
      <c r="H58" s="1216"/>
      <c r="I58" s="1216"/>
      <c r="J58" s="1216"/>
    </row>
    <row r="59" spans="1:10" x14ac:dyDescent="0.25">
      <c r="A59" s="1210" t="s">
        <v>11</v>
      </c>
      <c r="B59" s="1215" t="s">
        <v>1024</v>
      </c>
      <c r="C59" s="1216"/>
      <c r="D59" s="1216"/>
      <c r="E59" s="1216"/>
      <c r="F59" s="1216"/>
      <c r="G59" s="1216"/>
      <c r="H59" s="1216"/>
      <c r="I59" s="1216"/>
      <c r="J59" s="1216"/>
    </row>
    <row r="60" spans="1:10" x14ac:dyDescent="0.25">
      <c r="A60" s="1210" t="s">
        <v>17</v>
      </c>
      <c r="B60" s="1215" t="s">
        <v>28</v>
      </c>
      <c r="C60" s="1216"/>
      <c r="D60" s="1216"/>
      <c r="E60" s="1216"/>
      <c r="F60" s="1216"/>
      <c r="G60" s="1216"/>
      <c r="H60" s="1216"/>
      <c r="I60" s="1216"/>
      <c r="J60" s="1216"/>
    </row>
    <row r="61" spans="1:10" x14ac:dyDescent="0.25">
      <c r="A61" s="1216" t="s">
        <v>43</v>
      </c>
      <c r="B61" s="1220" t="s">
        <v>71</v>
      </c>
      <c r="C61" s="1216"/>
      <c r="D61" s="1216"/>
      <c r="E61" s="1216"/>
      <c r="F61" s="1216"/>
      <c r="G61" s="1216"/>
      <c r="H61" s="1216"/>
      <c r="I61" s="1216"/>
      <c r="J61" s="1216"/>
    </row>
    <row r="62" spans="1:10" x14ac:dyDescent="0.25">
      <c r="A62" s="1216" t="s">
        <v>44</v>
      </c>
      <c r="B62" s="1220" t="s">
        <v>80</v>
      </c>
      <c r="C62" s="1216"/>
      <c r="D62" s="1216"/>
      <c r="E62" s="1216"/>
      <c r="F62" s="1216"/>
      <c r="G62" s="1216"/>
      <c r="H62" s="1216"/>
      <c r="I62" s="1216"/>
      <c r="J62" s="1216"/>
    </row>
    <row r="63" spans="1:10" x14ac:dyDescent="0.25">
      <c r="A63" s="1216" t="s">
        <v>51</v>
      </c>
      <c r="B63" s="1220" t="s">
        <v>114</v>
      </c>
      <c r="C63" s="1216"/>
      <c r="D63" s="1216"/>
      <c r="E63" s="1216"/>
      <c r="F63" s="1216"/>
      <c r="G63" s="1216"/>
      <c r="H63" s="1216"/>
      <c r="I63" s="1216"/>
      <c r="J63" s="1216"/>
    </row>
    <row r="64" spans="1:10" x14ac:dyDescent="0.25">
      <c r="A64" s="1216" t="s">
        <v>1000</v>
      </c>
      <c r="B64" s="1220" t="s">
        <v>1025</v>
      </c>
      <c r="C64" s="1216"/>
      <c r="D64" s="1216"/>
      <c r="E64" s="1216"/>
      <c r="F64" s="1216"/>
      <c r="G64" s="1216"/>
      <c r="H64" s="1216"/>
      <c r="I64" s="1216"/>
      <c r="J64" s="1216"/>
    </row>
    <row r="65" spans="1:10" x14ac:dyDescent="0.25">
      <c r="A65" s="1216" t="s">
        <v>1000</v>
      </c>
      <c r="B65" s="1220" t="s">
        <v>1026</v>
      </c>
      <c r="C65" s="1216"/>
      <c r="D65" s="1216"/>
      <c r="E65" s="1216"/>
      <c r="F65" s="1216"/>
      <c r="G65" s="1216"/>
      <c r="H65" s="1216"/>
      <c r="I65" s="1216"/>
      <c r="J65" s="1216"/>
    </row>
    <row r="66" spans="1:10" x14ac:dyDescent="0.25">
      <c r="A66" s="1216" t="s">
        <v>130</v>
      </c>
      <c r="B66" s="1220" t="s">
        <v>115</v>
      </c>
      <c r="C66" s="1216"/>
      <c r="D66" s="1216"/>
      <c r="E66" s="1216"/>
      <c r="F66" s="1216"/>
      <c r="G66" s="1216"/>
      <c r="H66" s="1216"/>
      <c r="I66" s="1216"/>
      <c r="J66" s="1216"/>
    </row>
    <row r="67" spans="1:10" x14ac:dyDescent="0.25">
      <c r="A67" s="1216" t="s">
        <v>131</v>
      </c>
      <c r="B67" s="1220" t="s">
        <v>116</v>
      </c>
      <c r="C67" s="1216"/>
      <c r="D67" s="1216"/>
      <c r="E67" s="1216"/>
      <c r="F67" s="1216"/>
      <c r="G67" s="1216"/>
      <c r="H67" s="1216"/>
      <c r="I67" s="1216"/>
      <c r="J67" s="1216"/>
    </row>
    <row r="68" spans="1:10" x14ac:dyDescent="0.25">
      <c r="A68" s="1216" t="s">
        <v>132</v>
      </c>
      <c r="B68" s="1220" t="s">
        <v>117</v>
      </c>
      <c r="C68" s="1216"/>
      <c r="D68" s="1216"/>
      <c r="E68" s="1216"/>
      <c r="F68" s="1216"/>
      <c r="G68" s="1216"/>
      <c r="H68" s="1216"/>
      <c r="I68" s="1216"/>
      <c r="J68" s="1216"/>
    </row>
    <row r="69" spans="1:10" x14ac:dyDescent="0.25">
      <c r="A69" s="1216" t="s">
        <v>133</v>
      </c>
      <c r="B69" s="1220" t="s">
        <v>119</v>
      </c>
      <c r="C69" s="1216"/>
      <c r="D69" s="1216"/>
      <c r="E69" s="1216"/>
      <c r="F69" s="1216"/>
      <c r="G69" s="1216"/>
      <c r="H69" s="1216"/>
      <c r="I69" s="1216"/>
      <c r="J69" s="1216"/>
    </row>
    <row r="70" spans="1:10" x14ac:dyDescent="0.25">
      <c r="A70" s="1216" t="s">
        <v>134</v>
      </c>
      <c r="B70" s="1220" t="s">
        <v>121</v>
      </c>
      <c r="C70" s="1216"/>
      <c r="D70" s="1216"/>
      <c r="E70" s="1216"/>
      <c r="F70" s="1216"/>
      <c r="G70" s="1216"/>
      <c r="H70" s="1216"/>
      <c r="I70" s="1216"/>
      <c r="J70" s="1216"/>
    </row>
    <row r="71" spans="1:10" x14ac:dyDescent="0.25">
      <c r="A71" s="1216" t="s">
        <v>135</v>
      </c>
      <c r="B71" s="1220" t="s">
        <v>123</v>
      </c>
      <c r="C71" s="1216"/>
      <c r="D71" s="1216"/>
      <c r="E71" s="1216"/>
      <c r="F71" s="1216"/>
      <c r="G71" s="1216"/>
      <c r="H71" s="1216"/>
      <c r="I71" s="1216"/>
      <c r="J71" s="1216"/>
    </row>
    <row r="72" spans="1:10" x14ac:dyDescent="0.25">
      <c r="A72" s="1216" t="s">
        <v>1027</v>
      </c>
      <c r="B72" s="1220" t="s">
        <v>82</v>
      </c>
      <c r="C72" s="1216"/>
      <c r="D72" s="1216"/>
      <c r="E72" s="1216"/>
      <c r="F72" s="1216"/>
      <c r="G72" s="1216"/>
      <c r="H72" s="1216"/>
      <c r="I72" s="1216"/>
      <c r="J72" s="1216"/>
    </row>
    <row r="73" spans="1:10" ht="31.5" x14ac:dyDescent="0.25">
      <c r="A73" s="1216" t="s">
        <v>909</v>
      </c>
      <c r="B73" s="1220" t="s">
        <v>32</v>
      </c>
      <c r="C73" s="1216"/>
      <c r="D73" s="1216"/>
      <c r="E73" s="1216"/>
      <c r="F73" s="1216"/>
      <c r="G73" s="1216"/>
      <c r="H73" s="1216"/>
      <c r="I73" s="1216"/>
      <c r="J73" s="1216"/>
    </row>
    <row r="74" spans="1:10" x14ac:dyDescent="0.25">
      <c r="A74" s="1216" t="s">
        <v>1000</v>
      </c>
      <c r="B74" s="1220" t="s">
        <v>1028</v>
      </c>
      <c r="C74" s="1216"/>
      <c r="D74" s="1216"/>
      <c r="E74" s="1216"/>
      <c r="F74" s="1216"/>
      <c r="G74" s="1216"/>
      <c r="H74" s="1216"/>
      <c r="I74" s="1216"/>
      <c r="J74" s="1216"/>
    </row>
    <row r="75" spans="1:10" x14ac:dyDescent="0.25">
      <c r="A75" s="1216" t="s">
        <v>1000</v>
      </c>
      <c r="B75" s="1220" t="s">
        <v>521</v>
      </c>
      <c r="C75" s="1216"/>
      <c r="D75" s="1216"/>
      <c r="E75" s="1216"/>
      <c r="F75" s="1216"/>
      <c r="G75" s="1216"/>
      <c r="H75" s="1216"/>
      <c r="I75" s="1216"/>
      <c r="J75" s="1216"/>
    </row>
    <row r="76" spans="1:10" x14ac:dyDescent="0.25">
      <c r="A76" s="1216" t="s">
        <v>1000</v>
      </c>
      <c r="B76" s="1220" t="s">
        <v>1029</v>
      </c>
      <c r="C76" s="1216"/>
      <c r="D76" s="1216"/>
      <c r="E76" s="1216"/>
      <c r="F76" s="1216"/>
      <c r="G76" s="1216"/>
      <c r="H76" s="1216"/>
      <c r="I76" s="1216"/>
      <c r="J76" s="1216"/>
    </row>
    <row r="77" spans="1:10" x14ac:dyDescent="0.25">
      <c r="A77" s="1216" t="s">
        <v>1030</v>
      </c>
      <c r="B77" s="1220" t="s">
        <v>127</v>
      </c>
      <c r="C77" s="1216"/>
      <c r="D77" s="1216"/>
      <c r="E77" s="1216"/>
      <c r="F77" s="1216"/>
      <c r="G77" s="1216"/>
      <c r="H77" s="1216"/>
      <c r="I77" s="1216"/>
      <c r="J77" s="1216"/>
    </row>
    <row r="78" spans="1:10" x14ac:dyDescent="0.25">
      <c r="A78" s="1216" t="s">
        <v>910</v>
      </c>
      <c r="B78" s="1220" t="s">
        <v>75</v>
      </c>
      <c r="C78" s="1216"/>
      <c r="D78" s="1216"/>
      <c r="E78" s="1216"/>
      <c r="F78" s="1216"/>
      <c r="G78" s="1216"/>
      <c r="H78" s="1216"/>
      <c r="I78" s="1216"/>
      <c r="J78" s="1216"/>
    </row>
    <row r="79" spans="1:10" x14ac:dyDescent="0.25">
      <c r="A79" s="1210" t="s">
        <v>22</v>
      </c>
      <c r="B79" s="1215" t="s">
        <v>136</v>
      </c>
      <c r="C79" s="1216"/>
      <c r="D79" s="1216"/>
      <c r="E79" s="1216"/>
      <c r="F79" s="1216"/>
      <c r="G79" s="1216"/>
      <c r="H79" s="1216"/>
      <c r="I79" s="1216"/>
      <c r="J79" s="1216"/>
    </row>
    <row r="80" spans="1:10" x14ac:dyDescent="0.25">
      <c r="A80" s="1210" t="s">
        <v>4</v>
      </c>
      <c r="B80" s="1215" t="s">
        <v>137</v>
      </c>
      <c r="C80" s="1216"/>
      <c r="D80" s="1216"/>
      <c r="E80" s="1216"/>
      <c r="F80" s="1216"/>
      <c r="G80" s="1216"/>
      <c r="H80" s="1216"/>
      <c r="I80" s="1216"/>
      <c r="J80" s="1216"/>
    </row>
    <row r="81" spans="1:10" x14ac:dyDescent="0.25">
      <c r="A81" s="1216">
        <v>1</v>
      </c>
      <c r="B81" s="1220" t="s">
        <v>138</v>
      </c>
      <c r="C81" s="1216"/>
      <c r="D81" s="1216"/>
      <c r="E81" s="1216"/>
      <c r="F81" s="1216"/>
      <c r="G81" s="1216"/>
      <c r="H81" s="1216"/>
      <c r="I81" s="1216"/>
      <c r="J81" s="1216"/>
    </row>
    <row r="82" spans="1:10" x14ac:dyDescent="0.25">
      <c r="A82" s="1216">
        <v>2</v>
      </c>
      <c r="B82" s="1220" t="s">
        <v>104</v>
      </c>
      <c r="C82" s="1216"/>
      <c r="D82" s="1216"/>
      <c r="E82" s="1216"/>
      <c r="F82" s="1216"/>
      <c r="G82" s="1216"/>
      <c r="H82" s="1216"/>
      <c r="I82" s="1216"/>
      <c r="J82" s="1216"/>
    </row>
    <row r="83" spans="1:10" x14ac:dyDescent="0.25">
      <c r="A83" s="1225"/>
      <c r="B83" s="1225" t="s">
        <v>139</v>
      </c>
      <c r="C83" s="1220"/>
      <c r="D83" s="1220"/>
      <c r="E83" s="1220"/>
      <c r="F83" s="3273"/>
      <c r="G83" s="1216"/>
      <c r="H83" s="1220"/>
      <c r="I83" s="1220"/>
      <c r="J83" s="1220"/>
    </row>
    <row r="84" spans="1:10" x14ac:dyDescent="0.25">
      <c r="A84" s="1225"/>
      <c r="B84" s="1225" t="s">
        <v>140</v>
      </c>
      <c r="C84" s="1220"/>
      <c r="D84" s="1220"/>
      <c r="E84" s="1220"/>
      <c r="F84" s="3273"/>
      <c r="G84" s="1216"/>
      <c r="H84" s="1220"/>
      <c r="I84" s="1220"/>
      <c r="J84" s="1220"/>
    </row>
    <row r="85" spans="1:10" x14ac:dyDescent="0.25">
      <c r="A85" s="1210" t="s">
        <v>45</v>
      </c>
      <c r="B85" s="1215" t="s">
        <v>141</v>
      </c>
      <c r="C85" s="1216"/>
      <c r="D85" s="1216"/>
      <c r="E85" s="1216"/>
      <c r="F85" s="1216"/>
      <c r="G85" s="1216"/>
      <c r="H85" s="1216"/>
      <c r="I85" s="1216"/>
      <c r="J85" s="1216"/>
    </row>
    <row r="86" spans="1:10" x14ac:dyDescent="0.25">
      <c r="A86" s="1216"/>
      <c r="B86" s="1210" t="s">
        <v>1031</v>
      </c>
      <c r="C86" s="1216"/>
      <c r="D86" s="1216"/>
      <c r="E86" s="1216"/>
      <c r="F86" s="1216"/>
      <c r="G86" s="1216"/>
      <c r="H86" s="1216"/>
      <c r="I86" s="1216"/>
      <c r="J86" s="1216"/>
    </row>
    <row r="87" spans="1:10" ht="10.5" customHeight="1" x14ac:dyDescent="0.25">
      <c r="A87" s="1226"/>
    </row>
    <row r="88" spans="1:10" ht="33" customHeight="1" x14ac:dyDescent="0.25">
      <c r="A88" s="3274" t="s">
        <v>1032</v>
      </c>
      <c r="B88" s="3274"/>
      <c r="C88" s="3274"/>
      <c r="D88" s="3274"/>
      <c r="E88" s="3274"/>
      <c r="F88" s="3274"/>
      <c r="G88" s="3274"/>
      <c r="H88" s="3274"/>
      <c r="I88" s="3274"/>
      <c r="J88" s="3274"/>
    </row>
    <row r="89" spans="1:10" ht="17.25" customHeight="1" x14ac:dyDescent="0.25">
      <c r="A89" s="1226"/>
    </row>
    <row r="90" spans="1:10" ht="15.75" customHeight="1" x14ac:dyDescent="0.25">
      <c r="A90" s="3266" t="s">
        <v>1033</v>
      </c>
      <c r="B90" s="3266"/>
      <c r="C90" s="3266" t="s">
        <v>1033</v>
      </c>
      <c r="D90" s="3266"/>
      <c r="E90" s="3266"/>
      <c r="F90" s="3266"/>
      <c r="G90" s="1209"/>
      <c r="H90" s="3266" t="s">
        <v>1034</v>
      </c>
      <c r="I90" s="3266"/>
      <c r="J90" s="3266"/>
    </row>
    <row r="91" spans="1:10" ht="15.75" customHeight="1" x14ac:dyDescent="0.25">
      <c r="A91" s="3275" t="s">
        <v>1035</v>
      </c>
      <c r="B91" s="3275"/>
      <c r="C91" s="3275" t="s">
        <v>1036</v>
      </c>
      <c r="D91" s="3275"/>
      <c r="E91" s="3275"/>
      <c r="F91" s="3275"/>
      <c r="G91" s="1227"/>
      <c r="H91" s="3275" t="s">
        <v>1037</v>
      </c>
      <c r="I91" s="3275"/>
      <c r="J91" s="3275"/>
    </row>
    <row r="92" spans="1:10" ht="15.75" customHeight="1" x14ac:dyDescent="0.25">
      <c r="A92" s="3266" t="s">
        <v>12</v>
      </c>
      <c r="B92" s="3266"/>
      <c r="C92" s="3266" t="s">
        <v>12</v>
      </c>
      <c r="D92" s="3266"/>
      <c r="E92" s="3266"/>
      <c r="F92" s="3266"/>
      <c r="G92" s="1209"/>
      <c r="H92" s="3266" t="s">
        <v>12</v>
      </c>
      <c r="I92" s="3266"/>
      <c r="J92" s="3266"/>
    </row>
    <row r="93" spans="1:10" ht="31.5" hidden="1" x14ac:dyDescent="0.25">
      <c r="A93" s="1228" t="s">
        <v>1038</v>
      </c>
    </row>
    <row r="94" spans="1:10" ht="409.5" hidden="1" x14ac:dyDescent="0.25">
      <c r="A94" s="1229" t="s">
        <v>1039</v>
      </c>
    </row>
    <row r="95" spans="1:10" ht="299.25" hidden="1" x14ac:dyDescent="0.25">
      <c r="A95" s="1229" t="s">
        <v>1040</v>
      </c>
    </row>
    <row r="96" spans="1:10" ht="362.25" hidden="1" x14ac:dyDescent="0.25">
      <c r="A96" s="1229" t="s">
        <v>1041</v>
      </c>
    </row>
  </sheetData>
  <mergeCells count="27">
    <mergeCell ref="A92:B92"/>
    <mergeCell ref="C92:F92"/>
    <mergeCell ref="H92:J92"/>
    <mergeCell ref="F83:F84"/>
    <mergeCell ref="A88:J88"/>
    <mergeCell ref="A90:B90"/>
    <mergeCell ref="C90:F90"/>
    <mergeCell ref="H90:J90"/>
    <mergeCell ref="A91:B91"/>
    <mergeCell ref="C91:F91"/>
    <mergeCell ref="H91:J91"/>
    <mergeCell ref="J7:J8"/>
    <mergeCell ref="A1:C1"/>
    <mergeCell ref="I1:J1"/>
    <mergeCell ref="A2:J2"/>
    <mergeCell ref="A3:J3"/>
    <mergeCell ref="A5:J5"/>
    <mergeCell ref="A6:A8"/>
    <mergeCell ref="B6:B8"/>
    <mergeCell ref="C6:D6"/>
    <mergeCell ref="E6:H6"/>
    <mergeCell ref="I6:J6"/>
    <mergeCell ref="C7:C8"/>
    <mergeCell ref="D7:D8"/>
    <mergeCell ref="E7:E8"/>
    <mergeCell ref="F7:H7"/>
    <mergeCell ref="I7:I8"/>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39997558519241921"/>
  </sheetPr>
  <dimension ref="A1:S835"/>
  <sheetViews>
    <sheetView view="pageBreakPreview" topLeftCell="A340" zoomScale="90" zoomScaleNormal="110" zoomScaleSheetLayoutView="90" workbookViewId="0">
      <selection activeCell="E379" sqref="E379"/>
    </sheetView>
  </sheetViews>
  <sheetFormatPr defaultRowHeight="14.1" customHeight="1" x14ac:dyDescent="0.25"/>
  <cols>
    <col min="1" max="1" width="8.5703125" style="1727" customWidth="1"/>
    <col min="2" max="2" width="9.7109375" style="1728" customWidth="1"/>
    <col min="3" max="3" width="9" style="1728" customWidth="1"/>
    <col min="4" max="4" width="9.140625" style="1728" customWidth="1"/>
    <col min="5" max="8" width="18.42578125" style="1726" customWidth="1"/>
    <col min="9" max="9" width="13" style="1726" customWidth="1"/>
    <col min="10" max="255" width="9.140625" style="1726"/>
    <col min="256" max="256" width="8.5703125" style="1726" customWidth="1"/>
    <col min="257" max="257" width="8.140625" style="1726" customWidth="1"/>
    <col min="258" max="258" width="9" style="1726" customWidth="1"/>
    <col min="259" max="259" width="9.140625" style="1726"/>
    <col min="260" max="260" width="16" style="1726" customWidth="1"/>
    <col min="261" max="261" width="13.140625" style="1726" customWidth="1"/>
    <col min="262" max="262" width="14.140625" style="1726" customWidth="1"/>
    <col min="263" max="263" width="16.7109375" style="1726" customWidth="1"/>
    <col min="264" max="264" width="19.7109375" style="1726" customWidth="1"/>
    <col min="265" max="265" width="13" style="1726" customWidth="1"/>
    <col min="266" max="511" width="9.140625" style="1726"/>
    <col min="512" max="512" width="8.5703125" style="1726" customWidth="1"/>
    <col min="513" max="513" width="8.140625" style="1726" customWidth="1"/>
    <col min="514" max="514" width="9" style="1726" customWidth="1"/>
    <col min="515" max="515" width="9.140625" style="1726"/>
    <col min="516" max="516" width="16" style="1726" customWidth="1"/>
    <col min="517" max="517" width="13.140625" style="1726" customWidth="1"/>
    <col min="518" max="518" width="14.140625" style="1726" customWidth="1"/>
    <col min="519" max="519" width="16.7109375" style="1726" customWidth="1"/>
    <col min="520" max="520" width="19.7109375" style="1726" customWidth="1"/>
    <col min="521" max="521" width="13" style="1726" customWidth="1"/>
    <col min="522" max="767" width="9.140625" style="1726"/>
    <col min="768" max="768" width="8.5703125" style="1726" customWidth="1"/>
    <col min="769" max="769" width="8.140625" style="1726" customWidth="1"/>
    <col min="770" max="770" width="9" style="1726" customWidth="1"/>
    <col min="771" max="771" width="9.140625" style="1726"/>
    <col min="772" max="772" width="16" style="1726" customWidth="1"/>
    <col min="773" max="773" width="13.140625" style="1726" customWidth="1"/>
    <col min="774" max="774" width="14.140625" style="1726" customWidth="1"/>
    <col min="775" max="775" width="16.7109375" style="1726" customWidth="1"/>
    <col min="776" max="776" width="19.7109375" style="1726" customWidth="1"/>
    <col min="777" max="777" width="13" style="1726" customWidth="1"/>
    <col min="778" max="1023" width="9.140625" style="1726"/>
    <col min="1024" max="1024" width="8.5703125" style="1726" customWidth="1"/>
    <col min="1025" max="1025" width="8.140625" style="1726" customWidth="1"/>
    <col min="1026" max="1026" width="9" style="1726" customWidth="1"/>
    <col min="1027" max="1027" width="9.140625" style="1726"/>
    <col min="1028" max="1028" width="16" style="1726" customWidth="1"/>
    <col min="1029" max="1029" width="13.140625" style="1726" customWidth="1"/>
    <col min="1030" max="1030" width="14.140625" style="1726" customWidth="1"/>
    <col min="1031" max="1031" width="16.7109375" style="1726" customWidth="1"/>
    <col min="1032" max="1032" width="19.7109375" style="1726" customWidth="1"/>
    <col min="1033" max="1033" width="13" style="1726" customWidth="1"/>
    <col min="1034" max="1279" width="9.140625" style="1726"/>
    <col min="1280" max="1280" width="8.5703125" style="1726" customWidth="1"/>
    <col min="1281" max="1281" width="8.140625" style="1726" customWidth="1"/>
    <col min="1282" max="1282" width="9" style="1726" customWidth="1"/>
    <col min="1283" max="1283" width="9.140625" style="1726"/>
    <col min="1284" max="1284" width="16" style="1726" customWidth="1"/>
    <col min="1285" max="1285" width="13.140625" style="1726" customWidth="1"/>
    <col min="1286" max="1286" width="14.140625" style="1726" customWidth="1"/>
    <col min="1287" max="1287" width="16.7109375" style="1726" customWidth="1"/>
    <col min="1288" max="1288" width="19.7109375" style="1726" customWidth="1"/>
    <col min="1289" max="1289" width="13" style="1726" customWidth="1"/>
    <col min="1290" max="1535" width="9.140625" style="1726"/>
    <col min="1536" max="1536" width="8.5703125" style="1726" customWidth="1"/>
    <col min="1537" max="1537" width="8.140625" style="1726" customWidth="1"/>
    <col min="1538" max="1538" width="9" style="1726" customWidth="1"/>
    <col min="1539" max="1539" width="9.140625" style="1726"/>
    <col min="1540" max="1540" width="16" style="1726" customWidth="1"/>
    <col min="1541" max="1541" width="13.140625" style="1726" customWidth="1"/>
    <col min="1542" max="1542" width="14.140625" style="1726" customWidth="1"/>
    <col min="1543" max="1543" width="16.7109375" style="1726" customWidth="1"/>
    <col min="1544" max="1544" width="19.7109375" style="1726" customWidth="1"/>
    <col min="1545" max="1545" width="13" style="1726" customWidth="1"/>
    <col min="1546" max="1791" width="9.140625" style="1726"/>
    <col min="1792" max="1792" width="8.5703125" style="1726" customWidth="1"/>
    <col min="1793" max="1793" width="8.140625" style="1726" customWidth="1"/>
    <col min="1794" max="1794" width="9" style="1726" customWidth="1"/>
    <col min="1795" max="1795" width="9.140625" style="1726"/>
    <col min="1796" max="1796" width="16" style="1726" customWidth="1"/>
    <col min="1797" max="1797" width="13.140625" style="1726" customWidth="1"/>
    <col min="1798" max="1798" width="14.140625" style="1726" customWidth="1"/>
    <col min="1799" max="1799" width="16.7109375" style="1726" customWidth="1"/>
    <col min="1800" max="1800" width="19.7109375" style="1726" customWidth="1"/>
    <col min="1801" max="1801" width="13" style="1726" customWidth="1"/>
    <col min="1802" max="2047" width="9.140625" style="1726"/>
    <col min="2048" max="2048" width="8.5703125" style="1726" customWidth="1"/>
    <col min="2049" max="2049" width="8.140625" style="1726" customWidth="1"/>
    <col min="2050" max="2050" width="9" style="1726" customWidth="1"/>
    <col min="2051" max="2051" width="9.140625" style="1726"/>
    <col min="2052" max="2052" width="16" style="1726" customWidth="1"/>
    <col min="2053" max="2053" width="13.140625" style="1726" customWidth="1"/>
    <col min="2054" max="2054" width="14.140625" style="1726" customWidth="1"/>
    <col min="2055" max="2055" width="16.7109375" style="1726" customWidth="1"/>
    <col min="2056" max="2056" width="19.7109375" style="1726" customWidth="1"/>
    <col min="2057" max="2057" width="13" style="1726" customWidth="1"/>
    <col min="2058" max="2303" width="9.140625" style="1726"/>
    <col min="2304" max="2304" width="8.5703125" style="1726" customWidth="1"/>
    <col min="2305" max="2305" width="8.140625" style="1726" customWidth="1"/>
    <col min="2306" max="2306" width="9" style="1726" customWidth="1"/>
    <col min="2307" max="2307" width="9.140625" style="1726"/>
    <col min="2308" max="2308" width="16" style="1726" customWidth="1"/>
    <col min="2309" max="2309" width="13.140625" style="1726" customWidth="1"/>
    <col min="2310" max="2310" width="14.140625" style="1726" customWidth="1"/>
    <col min="2311" max="2311" width="16.7109375" style="1726" customWidth="1"/>
    <col min="2312" max="2312" width="19.7109375" style="1726" customWidth="1"/>
    <col min="2313" max="2313" width="13" style="1726" customWidth="1"/>
    <col min="2314" max="2559" width="9.140625" style="1726"/>
    <col min="2560" max="2560" width="8.5703125" style="1726" customWidth="1"/>
    <col min="2561" max="2561" width="8.140625" style="1726" customWidth="1"/>
    <col min="2562" max="2562" width="9" style="1726" customWidth="1"/>
    <col min="2563" max="2563" width="9.140625" style="1726"/>
    <col min="2564" max="2564" width="16" style="1726" customWidth="1"/>
    <col min="2565" max="2565" width="13.140625" style="1726" customWidth="1"/>
    <col min="2566" max="2566" width="14.140625" style="1726" customWidth="1"/>
    <col min="2567" max="2567" width="16.7109375" style="1726" customWidth="1"/>
    <col min="2568" max="2568" width="19.7109375" style="1726" customWidth="1"/>
    <col min="2569" max="2569" width="13" style="1726" customWidth="1"/>
    <col min="2570" max="2815" width="9.140625" style="1726"/>
    <col min="2816" max="2816" width="8.5703125" style="1726" customWidth="1"/>
    <col min="2817" max="2817" width="8.140625" style="1726" customWidth="1"/>
    <col min="2818" max="2818" width="9" style="1726" customWidth="1"/>
    <col min="2819" max="2819" width="9.140625" style="1726"/>
    <col min="2820" max="2820" width="16" style="1726" customWidth="1"/>
    <col min="2821" max="2821" width="13.140625" style="1726" customWidth="1"/>
    <col min="2822" max="2822" width="14.140625" style="1726" customWidth="1"/>
    <col min="2823" max="2823" width="16.7109375" style="1726" customWidth="1"/>
    <col min="2824" max="2824" width="19.7109375" style="1726" customWidth="1"/>
    <col min="2825" max="2825" width="13" style="1726" customWidth="1"/>
    <col min="2826" max="3071" width="9.140625" style="1726"/>
    <col min="3072" max="3072" width="8.5703125" style="1726" customWidth="1"/>
    <col min="3073" max="3073" width="8.140625" style="1726" customWidth="1"/>
    <col min="3074" max="3074" width="9" style="1726" customWidth="1"/>
    <col min="3075" max="3075" width="9.140625" style="1726"/>
    <col min="3076" max="3076" width="16" style="1726" customWidth="1"/>
    <col min="3077" max="3077" width="13.140625" style="1726" customWidth="1"/>
    <col min="3078" max="3078" width="14.140625" style="1726" customWidth="1"/>
    <col min="3079" max="3079" width="16.7109375" style="1726" customWidth="1"/>
    <col min="3080" max="3080" width="19.7109375" style="1726" customWidth="1"/>
    <col min="3081" max="3081" width="13" style="1726" customWidth="1"/>
    <col min="3082" max="3327" width="9.140625" style="1726"/>
    <col min="3328" max="3328" width="8.5703125" style="1726" customWidth="1"/>
    <col min="3329" max="3329" width="8.140625" style="1726" customWidth="1"/>
    <col min="3330" max="3330" width="9" style="1726" customWidth="1"/>
    <col min="3331" max="3331" width="9.140625" style="1726"/>
    <col min="3332" max="3332" width="16" style="1726" customWidth="1"/>
    <col min="3333" max="3333" width="13.140625" style="1726" customWidth="1"/>
    <col min="3334" max="3334" width="14.140625" style="1726" customWidth="1"/>
    <col min="3335" max="3335" width="16.7109375" style="1726" customWidth="1"/>
    <col min="3336" max="3336" width="19.7109375" style="1726" customWidth="1"/>
    <col min="3337" max="3337" width="13" style="1726" customWidth="1"/>
    <col min="3338" max="3583" width="9.140625" style="1726"/>
    <col min="3584" max="3584" width="8.5703125" style="1726" customWidth="1"/>
    <col min="3585" max="3585" width="8.140625" style="1726" customWidth="1"/>
    <col min="3586" max="3586" width="9" style="1726" customWidth="1"/>
    <col min="3587" max="3587" width="9.140625" style="1726"/>
    <col min="3588" max="3588" width="16" style="1726" customWidth="1"/>
    <col min="3589" max="3589" width="13.140625" style="1726" customWidth="1"/>
    <col min="3590" max="3590" width="14.140625" style="1726" customWidth="1"/>
    <col min="3591" max="3591" width="16.7109375" style="1726" customWidth="1"/>
    <col min="3592" max="3592" width="19.7109375" style="1726" customWidth="1"/>
    <col min="3593" max="3593" width="13" style="1726" customWidth="1"/>
    <col min="3594" max="3839" width="9.140625" style="1726"/>
    <col min="3840" max="3840" width="8.5703125" style="1726" customWidth="1"/>
    <col min="3841" max="3841" width="8.140625" style="1726" customWidth="1"/>
    <col min="3842" max="3842" width="9" style="1726" customWidth="1"/>
    <col min="3843" max="3843" width="9.140625" style="1726"/>
    <col min="3844" max="3844" width="16" style="1726" customWidth="1"/>
    <col min="3845" max="3845" width="13.140625" style="1726" customWidth="1"/>
    <col min="3846" max="3846" width="14.140625" style="1726" customWidth="1"/>
    <col min="3847" max="3847" width="16.7109375" style="1726" customWidth="1"/>
    <col min="3848" max="3848" width="19.7109375" style="1726" customWidth="1"/>
    <col min="3849" max="3849" width="13" style="1726" customWidth="1"/>
    <col min="3850" max="4095" width="9.140625" style="1726"/>
    <col min="4096" max="4096" width="8.5703125" style="1726" customWidth="1"/>
    <col min="4097" max="4097" width="8.140625" style="1726" customWidth="1"/>
    <col min="4098" max="4098" width="9" style="1726" customWidth="1"/>
    <col min="4099" max="4099" width="9.140625" style="1726"/>
    <col min="4100" max="4100" width="16" style="1726" customWidth="1"/>
    <col min="4101" max="4101" width="13.140625" style="1726" customWidth="1"/>
    <col min="4102" max="4102" width="14.140625" style="1726" customWidth="1"/>
    <col min="4103" max="4103" width="16.7109375" style="1726" customWidth="1"/>
    <col min="4104" max="4104" width="19.7109375" style="1726" customWidth="1"/>
    <col min="4105" max="4105" width="13" style="1726" customWidth="1"/>
    <col min="4106" max="4351" width="9.140625" style="1726"/>
    <col min="4352" max="4352" width="8.5703125" style="1726" customWidth="1"/>
    <col min="4353" max="4353" width="8.140625" style="1726" customWidth="1"/>
    <col min="4354" max="4354" width="9" style="1726" customWidth="1"/>
    <col min="4355" max="4355" width="9.140625" style="1726"/>
    <col min="4356" max="4356" width="16" style="1726" customWidth="1"/>
    <col min="4357" max="4357" width="13.140625" style="1726" customWidth="1"/>
    <col min="4358" max="4358" width="14.140625" style="1726" customWidth="1"/>
    <col min="4359" max="4359" width="16.7109375" style="1726" customWidth="1"/>
    <col min="4360" max="4360" width="19.7109375" style="1726" customWidth="1"/>
    <col min="4361" max="4361" width="13" style="1726" customWidth="1"/>
    <col min="4362" max="4607" width="9.140625" style="1726"/>
    <col min="4608" max="4608" width="8.5703125" style="1726" customWidth="1"/>
    <col min="4609" max="4609" width="8.140625" style="1726" customWidth="1"/>
    <col min="4610" max="4610" width="9" style="1726" customWidth="1"/>
    <col min="4611" max="4611" width="9.140625" style="1726"/>
    <col min="4612" max="4612" width="16" style="1726" customWidth="1"/>
    <col min="4613" max="4613" width="13.140625" style="1726" customWidth="1"/>
    <col min="4614" max="4614" width="14.140625" style="1726" customWidth="1"/>
    <col min="4615" max="4615" width="16.7109375" style="1726" customWidth="1"/>
    <col min="4616" max="4616" width="19.7109375" style="1726" customWidth="1"/>
    <col min="4617" max="4617" width="13" style="1726" customWidth="1"/>
    <col min="4618" max="4863" width="9.140625" style="1726"/>
    <col min="4864" max="4864" width="8.5703125" style="1726" customWidth="1"/>
    <col min="4865" max="4865" width="8.140625" style="1726" customWidth="1"/>
    <col min="4866" max="4866" width="9" style="1726" customWidth="1"/>
    <col min="4867" max="4867" width="9.140625" style="1726"/>
    <col min="4868" max="4868" width="16" style="1726" customWidth="1"/>
    <col min="4869" max="4869" width="13.140625" style="1726" customWidth="1"/>
    <col min="4870" max="4870" width="14.140625" style="1726" customWidth="1"/>
    <col min="4871" max="4871" width="16.7109375" style="1726" customWidth="1"/>
    <col min="4872" max="4872" width="19.7109375" style="1726" customWidth="1"/>
    <col min="4873" max="4873" width="13" style="1726" customWidth="1"/>
    <col min="4874" max="5119" width="9.140625" style="1726"/>
    <col min="5120" max="5120" width="8.5703125" style="1726" customWidth="1"/>
    <col min="5121" max="5121" width="8.140625" style="1726" customWidth="1"/>
    <col min="5122" max="5122" width="9" style="1726" customWidth="1"/>
    <col min="5123" max="5123" width="9.140625" style="1726"/>
    <col min="5124" max="5124" width="16" style="1726" customWidth="1"/>
    <col min="5125" max="5125" width="13.140625" style="1726" customWidth="1"/>
    <col min="5126" max="5126" width="14.140625" style="1726" customWidth="1"/>
    <col min="5127" max="5127" width="16.7109375" style="1726" customWidth="1"/>
    <col min="5128" max="5128" width="19.7109375" style="1726" customWidth="1"/>
    <col min="5129" max="5129" width="13" style="1726" customWidth="1"/>
    <col min="5130" max="5375" width="9.140625" style="1726"/>
    <col min="5376" max="5376" width="8.5703125" style="1726" customWidth="1"/>
    <col min="5377" max="5377" width="8.140625" style="1726" customWidth="1"/>
    <col min="5378" max="5378" width="9" style="1726" customWidth="1"/>
    <col min="5379" max="5379" width="9.140625" style="1726"/>
    <col min="5380" max="5380" width="16" style="1726" customWidth="1"/>
    <col min="5381" max="5381" width="13.140625" style="1726" customWidth="1"/>
    <col min="5382" max="5382" width="14.140625" style="1726" customWidth="1"/>
    <col min="5383" max="5383" width="16.7109375" style="1726" customWidth="1"/>
    <col min="5384" max="5384" width="19.7109375" style="1726" customWidth="1"/>
    <col min="5385" max="5385" width="13" style="1726" customWidth="1"/>
    <col min="5386" max="5631" width="9.140625" style="1726"/>
    <col min="5632" max="5632" width="8.5703125" style="1726" customWidth="1"/>
    <col min="5633" max="5633" width="8.140625" style="1726" customWidth="1"/>
    <col min="5634" max="5634" width="9" style="1726" customWidth="1"/>
    <col min="5635" max="5635" width="9.140625" style="1726"/>
    <col min="5636" max="5636" width="16" style="1726" customWidth="1"/>
    <col min="5637" max="5637" width="13.140625" style="1726" customWidth="1"/>
    <col min="5638" max="5638" width="14.140625" style="1726" customWidth="1"/>
    <col min="5639" max="5639" width="16.7109375" style="1726" customWidth="1"/>
    <col min="5640" max="5640" width="19.7109375" style="1726" customWidth="1"/>
    <col min="5641" max="5641" width="13" style="1726" customWidth="1"/>
    <col min="5642" max="5887" width="9.140625" style="1726"/>
    <col min="5888" max="5888" width="8.5703125" style="1726" customWidth="1"/>
    <col min="5889" max="5889" width="8.140625" style="1726" customWidth="1"/>
    <col min="5890" max="5890" width="9" style="1726" customWidth="1"/>
    <col min="5891" max="5891" width="9.140625" style="1726"/>
    <col min="5892" max="5892" width="16" style="1726" customWidth="1"/>
    <col min="5893" max="5893" width="13.140625" style="1726" customWidth="1"/>
    <col min="5894" max="5894" width="14.140625" style="1726" customWidth="1"/>
    <col min="5895" max="5895" width="16.7109375" style="1726" customWidth="1"/>
    <col min="5896" max="5896" width="19.7109375" style="1726" customWidth="1"/>
    <col min="5897" max="5897" width="13" style="1726" customWidth="1"/>
    <col min="5898" max="6143" width="9.140625" style="1726"/>
    <col min="6144" max="6144" width="8.5703125" style="1726" customWidth="1"/>
    <col min="6145" max="6145" width="8.140625" style="1726" customWidth="1"/>
    <col min="6146" max="6146" width="9" style="1726" customWidth="1"/>
    <col min="6147" max="6147" width="9.140625" style="1726"/>
    <col min="6148" max="6148" width="16" style="1726" customWidth="1"/>
    <col min="6149" max="6149" width="13.140625" style="1726" customWidth="1"/>
    <col min="6150" max="6150" width="14.140625" style="1726" customWidth="1"/>
    <col min="6151" max="6151" width="16.7109375" style="1726" customWidth="1"/>
    <col min="6152" max="6152" width="19.7109375" style="1726" customWidth="1"/>
    <col min="6153" max="6153" width="13" style="1726" customWidth="1"/>
    <col min="6154" max="6399" width="9.140625" style="1726"/>
    <col min="6400" max="6400" width="8.5703125" style="1726" customWidth="1"/>
    <col min="6401" max="6401" width="8.140625" style="1726" customWidth="1"/>
    <col min="6402" max="6402" width="9" style="1726" customWidth="1"/>
    <col min="6403" max="6403" width="9.140625" style="1726"/>
    <col min="6404" max="6404" width="16" style="1726" customWidth="1"/>
    <col min="6405" max="6405" width="13.140625" style="1726" customWidth="1"/>
    <col min="6406" max="6406" width="14.140625" style="1726" customWidth="1"/>
    <col min="6407" max="6407" width="16.7109375" style="1726" customWidth="1"/>
    <col min="6408" max="6408" width="19.7109375" style="1726" customWidth="1"/>
    <col min="6409" max="6409" width="13" style="1726" customWidth="1"/>
    <col min="6410" max="6655" width="9.140625" style="1726"/>
    <col min="6656" max="6656" width="8.5703125" style="1726" customWidth="1"/>
    <col min="6657" max="6657" width="8.140625" style="1726" customWidth="1"/>
    <col min="6658" max="6658" width="9" style="1726" customWidth="1"/>
    <col min="6659" max="6659" width="9.140625" style="1726"/>
    <col min="6660" max="6660" width="16" style="1726" customWidth="1"/>
    <col min="6661" max="6661" width="13.140625" style="1726" customWidth="1"/>
    <col min="6662" max="6662" width="14.140625" style="1726" customWidth="1"/>
    <col min="6663" max="6663" width="16.7109375" style="1726" customWidth="1"/>
    <col min="6664" max="6664" width="19.7109375" style="1726" customWidth="1"/>
    <col min="6665" max="6665" width="13" style="1726" customWidth="1"/>
    <col min="6666" max="6911" width="9.140625" style="1726"/>
    <col min="6912" max="6912" width="8.5703125" style="1726" customWidth="1"/>
    <col min="6913" max="6913" width="8.140625" style="1726" customWidth="1"/>
    <col min="6914" max="6914" width="9" style="1726" customWidth="1"/>
    <col min="6915" max="6915" width="9.140625" style="1726"/>
    <col min="6916" max="6916" width="16" style="1726" customWidth="1"/>
    <col min="6917" max="6917" width="13.140625" style="1726" customWidth="1"/>
    <col min="6918" max="6918" width="14.140625" style="1726" customWidth="1"/>
    <col min="6919" max="6919" width="16.7109375" style="1726" customWidth="1"/>
    <col min="6920" max="6920" width="19.7109375" style="1726" customWidth="1"/>
    <col min="6921" max="6921" width="13" style="1726" customWidth="1"/>
    <col min="6922" max="7167" width="9.140625" style="1726"/>
    <col min="7168" max="7168" width="8.5703125" style="1726" customWidth="1"/>
    <col min="7169" max="7169" width="8.140625" style="1726" customWidth="1"/>
    <col min="7170" max="7170" width="9" style="1726" customWidth="1"/>
    <col min="7171" max="7171" width="9.140625" style="1726"/>
    <col min="7172" max="7172" width="16" style="1726" customWidth="1"/>
    <col min="7173" max="7173" width="13.140625" style="1726" customWidth="1"/>
    <col min="7174" max="7174" width="14.140625" style="1726" customWidth="1"/>
    <col min="7175" max="7175" width="16.7109375" style="1726" customWidth="1"/>
    <col min="7176" max="7176" width="19.7109375" style="1726" customWidth="1"/>
    <col min="7177" max="7177" width="13" style="1726" customWidth="1"/>
    <col min="7178" max="7423" width="9.140625" style="1726"/>
    <col min="7424" max="7424" width="8.5703125" style="1726" customWidth="1"/>
    <col min="7425" max="7425" width="8.140625" style="1726" customWidth="1"/>
    <col min="7426" max="7426" width="9" style="1726" customWidth="1"/>
    <col min="7427" max="7427" width="9.140625" style="1726"/>
    <col min="7428" max="7428" width="16" style="1726" customWidth="1"/>
    <col min="7429" max="7429" width="13.140625" style="1726" customWidth="1"/>
    <col min="7430" max="7430" width="14.140625" style="1726" customWidth="1"/>
    <col min="7431" max="7431" width="16.7109375" style="1726" customWidth="1"/>
    <col min="7432" max="7432" width="19.7109375" style="1726" customWidth="1"/>
    <col min="7433" max="7433" width="13" style="1726" customWidth="1"/>
    <col min="7434" max="7679" width="9.140625" style="1726"/>
    <col min="7680" max="7680" width="8.5703125" style="1726" customWidth="1"/>
    <col min="7681" max="7681" width="8.140625" style="1726" customWidth="1"/>
    <col min="7682" max="7682" width="9" style="1726" customWidth="1"/>
    <col min="7683" max="7683" width="9.140625" style="1726"/>
    <col min="7684" max="7684" width="16" style="1726" customWidth="1"/>
    <col min="7685" max="7685" width="13.140625" style="1726" customWidth="1"/>
    <col min="7686" max="7686" width="14.140625" style="1726" customWidth="1"/>
    <col min="7687" max="7687" width="16.7109375" style="1726" customWidth="1"/>
    <col min="7688" max="7688" width="19.7109375" style="1726" customWidth="1"/>
    <col min="7689" max="7689" width="13" style="1726" customWidth="1"/>
    <col min="7690" max="7935" width="9.140625" style="1726"/>
    <col min="7936" max="7936" width="8.5703125" style="1726" customWidth="1"/>
    <col min="7937" max="7937" width="8.140625" style="1726" customWidth="1"/>
    <col min="7938" max="7938" width="9" style="1726" customWidth="1"/>
    <col min="7939" max="7939" width="9.140625" style="1726"/>
    <col min="7940" max="7940" width="16" style="1726" customWidth="1"/>
    <col min="7941" max="7941" width="13.140625" style="1726" customWidth="1"/>
    <col min="7942" max="7942" width="14.140625" style="1726" customWidth="1"/>
    <col min="7943" max="7943" width="16.7109375" style="1726" customWidth="1"/>
    <col min="7944" max="7944" width="19.7109375" style="1726" customWidth="1"/>
    <col min="7945" max="7945" width="13" style="1726" customWidth="1"/>
    <col min="7946" max="8191" width="9.140625" style="1726"/>
    <col min="8192" max="8192" width="8.5703125" style="1726" customWidth="1"/>
    <col min="8193" max="8193" width="8.140625" style="1726" customWidth="1"/>
    <col min="8194" max="8194" width="9" style="1726" customWidth="1"/>
    <col min="8195" max="8195" width="9.140625" style="1726"/>
    <col min="8196" max="8196" width="16" style="1726" customWidth="1"/>
    <col min="8197" max="8197" width="13.140625" style="1726" customWidth="1"/>
    <col min="8198" max="8198" width="14.140625" style="1726" customWidth="1"/>
    <col min="8199" max="8199" width="16.7109375" style="1726" customWidth="1"/>
    <col min="8200" max="8200" width="19.7109375" style="1726" customWidth="1"/>
    <col min="8201" max="8201" width="13" style="1726" customWidth="1"/>
    <col min="8202" max="8447" width="9.140625" style="1726"/>
    <col min="8448" max="8448" width="8.5703125" style="1726" customWidth="1"/>
    <col min="8449" max="8449" width="8.140625" style="1726" customWidth="1"/>
    <col min="8450" max="8450" width="9" style="1726" customWidth="1"/>
    <col min="8451" max="8451" width="9.140625" style="1726"/>
    <col min="8452" max="8452" width="16" style="1726" customWidth="1"/>
    <col min="8453" max="8453" width="13.140625" style="1726" customWidth="1"/>
    <col min="8454" max="8454" width="14.140625" style="1726" customWidth="1"/>
    <col min="8455" max="8455" width="16.7109375" style="1726" customWidth="1"/>
    <col min="8456" max="8456" width="19.7109375" style="1726" customWidth="1"/>
    <col min="8457" max="8457" width="13" style="1726" customWidth="1"/>
    <col min="8458" max="8703" width="9.140625" style="1726"/>
    <col min="8704" max="8704" width="8.5703125" style="1726" customWidth="1"/>
    <col min="8705" max="8705" width="8.140625" style="1726" customWidth="1"/>
    <col min="8706" max="8706" width="9" style="1726" customWidth="1"/>
    <col min="8707" max="8707" width="9.140625" style="1726"/>
    <col min="8708" max="8708" width="16" style="1726" customWidth="1"/>
    <col min="8709" max="8709" width="13.140625" style="1726" customWidth="1"/>
    <col min="8710" max="8710" width="14.140625" style="1726" customWidth="1"/>
    <col min="8711" max="8711" width="16.7109375" style="1726" customWidth="1"/>
    <col min="8712" max="8712" width="19.7109375" style="1726" customWidth="1"/>
    <col min="8713" max="8713" width="13" style="1726" customWidth="1"/>
    <col min="8714" max="8959" width="9.140625" style="1726"/>
    <col min="8960" max="8960" width="8.5703125" style="1726" customWidth="1"/>
    <col min="8961" max="8961" width="8.140625" style="1726" customWidth="1"/>
    <col min="8962" max="8962" width="9" style="1726" customWidth="1"/>
    <col min="8963" max="8963" width="9.140625" style="1726"/>
    <col min="8964" max="8964" width="16" style="1726" customWidth="1"/>
    <col min="8965" max="8965" width="13.140625" style="1726" customWidth="1"/>
    <col min="8966" max="8966" width="14.140625" style="1726" customWidth="1"/>
    <col min="8967" max="8967" width="16.7109375" style="1726" customWidth="1"/>
    <col min="8968" max="8968" width="19.7109375" style="1726" customWidth="1"/>
    <col min="8969" max="8969" width="13" style="1726" customWidth="1"/>
    <col min="8970" max="9215" width="9.140625" style="1726"/>
    <col min="9216" max="9216" width="8.5703125" style="1726" customWidth="1"/>
    <col min="9217" max="9217" width="8.140625" style="1726" customWidth="1"/>
    <col min="9218" max="9218" width="9" style="1726" customWidth="1"/>
    <col min="9219" max="9219" width="9.140625" style="1726"/>
    <col min="9220" max="9220" width="16" style="1726" customWidth="1"/>
    <col min="9221" max="9221" width="13.140625" style="1726" customWidth="1"/>
    <col min="9222" max="9222" width="14.140625" style="1726" customWidth="1"/>
    <col min="9223" max="9223" width="16.7109375" style="1726" customWidth="1"/>
    <col min="9224" max="9224" width="19.7109375" style="1726" customWidth="1"/>
    <col min="9225" max="9225" width="13" style="1726" customWidth="1"/>
    <col min="9226" max="9471" width="9.140625" style="1726"/>
    <col min="9472" max="9472" width="8.5703125" style="1726" customWidth="1"/>
    <col min="9473" max="9473" width="8.140625" style="1726" customWidth="1"/>
    <col min="9474" max="9474" width="9" style="1726" customWidth="1"/>
    <col min="9475" max="9475" width="9.140625" style="1726"/>
    <col min="9476" max="9476" width="16" style="1726" customWidth="1"/>
    <col min="9477" max="9477" width="13.140625" style="1726" customWidth="1"/>
    <col min="9478" max="9478" width="14.140625" style="1726" customWidth="1"/>
    <col min="9479" max="9479" width="16.7109375" style="1726" customWidth="1"/>
    <col min="9480" max="9480" width="19.7109375" style="1726" customWidth="1"/>
    <col min="9481" max="9481" width="13" style="1726" customWidth="1"/>
    <col min="9482" max="9727" width="9.140625" style="1726"/>
    <col min="9728" max="9728" width="8.5703125" style="1726" customWidth="1"/>
    <col min="9729" max="9729" width="8.140625" style="1726" customWidth="1"/>
    <col min="9730" max="9730" width="9" style="1726" customWidth="1"/>
    <col min="9731" max="9731" width="9.140625" style="1726"/>
    <col min="9732" max="9732" width="16" style="1726" customWidth="1"/>
    <col min="9733" max="9733" width="13.140625" style="1726" customWidth="1"/>
    <col min="9734" max="9734" width="14.140625" style="1726" customWidth="1"/>
    <col min="9735" max="9735" width="16.7109375" style="1726" customWidth="1"/>
    <col min="9736" max="9736" width="19.7109375" style="1726" customWidth="1"/>
    <col min="9737" max="9737" width="13" style="1726" customWidth="1"/>
    <col min="9738" max="9983" width="9.140625" style="1726"/>
    <col min="9984" max="9984" width="8.5703125" style="1726" customWidth="1"/>
    <col min="9985" max="9985" width="8.140625" style="1726" customWidth="1"/>
    <col min="9986" max="9986" width="9" style="1726" customWidth="1"/>
    <col min="9987" max="9987" width="9.140625" style="1726"/>
    <col min="9988" max="9988" width="16" style="1726" customWidth="1"/>
    <col min="9989" max="9989" width="13.140625" style="1726" customWidth="1"/>
    <col min="9990" max="9990" width="14.140625" style="1726" customWidth="1"/>
    <col min="9991" max="9991" width="16.7109375" style="1726" customWidth="1"/>
    <col min="9992" max="9992" width="19.7109375" style="1726" customWidth="1"/>
    <col min="9993" max="9993" width="13" style="1726" customWidth="1"/>
    <col min="9994" max="10239" width="9.140625" style="1726"/>
    <col min="10240" max="10240" width="8.5703125" style="1726" customWidth="1"/>
    <col min="10241" max="10241" width="8.140625" style="1726" customWidth="1"/>
    <col min="10242" max="10242" width="9" style="1726" customWidth="1"/>
    <col min="10243" max="10243" width="9.140625" style="1726"/>
    <col min="10244" max="10244" width="16" style="1726" customWidth="1"/>
    <col min="10245" max="10245" width="13.140625" style="1726" customWidth="1"/>
    <col min="10246" max="10246" width="14.140625" style="1726" customWidth="1"/>
    <col min="10247" max="10247" width="16.7109375" style="1726" customWidth="1"/>
    <col min="10248" max="10248" width="19.7109375" style="1726" customWidth="1"/>
    <col min="10249" max="10249" width="13" style="1726" customWidth="1"/>
    <col min="10250" max="10495" width="9.140625" style="1726"/>
    <col min="10496" max="10496" width="8.5703125" style="1726" customWidth="1"/>
    <col min="10497" max="10497" width="8.140625" style="1726" customWidth="1"/>
    <col min="10498" max="10498" width="9" style="1726" customWidth="1"/>
    <col min="10499" max="10499" width="9.140625" style="1726"/>
    <col min="10500" max="10500" width="16" style="1726" customWidth="1"/>
    <col min="10501" max="10501" width="13.140625" style="1726" customWidth="1"/>
    <col min="10502" max="10502" width="14.140625" style="1726" customWidth="1"/>
    <col min="10503" max="10503" width="16.7109375" style="1726" customWidth="1"/>
    <col min="10504" max="10504" width="19.7109375" style="1726" customWidth="1"/>
    <col min="10505" max="10505" width="13" style="1726" customWidth="1"/>
    <col min="10506" max="10751" width="9.140625" style="1726"/>
    <col min="10752" max="10752" width="8.5703125" style="1726" customWidth="1"/>
    <col min="10753" max="10753" width="8.140625" style="1726" customWidth="1"/>
    <col min="10754" max="10754" width="9" style="1726" customWidth="1"/>
    <col min="10755" max="10755" width="9.140625" style="1726"/>
    <col min="10756" max="10756" width="16" style="1726" customWidth="1"/>
    <col min="10757" max="10757" width="13.140625" style="1726" customWidth="1"/>
    <col min="10758" max="10758" width="14.140625" style="1726" customWidth="1"/>
    <col min="10759" max="10759" width="16.7109375" style="1726" customWidth="1"/>
    <col min="10760" max="10760" width="19.7109375" style="1726" customWidth="1"/>
    <col min="10761" max="10761" width="13" style="1726" customWidth="1"/>
    <col min="10762" max="11007" width="9.140625" style="1726"/>
    <col min="11008" max="11008" width="8.5703125" style="1726" customWidth="1"/>
    <col min="11009" max="11009" width="8.140625" style="1726" customWidth="1"/>
    <col min="11010" max="11010" width="9" style="1726" customWidth="1"/>
    <col min="11011" max="11011" width="9.140625" style="1726"/>
    <col min="11012" max="11012" width="16" style="1726" customWidth="1"/>
    <col min="11013" max="11013" width="13.140625" style="1726" customWidth="1"/>
    <col min="11014" max="11014" width="14.140625" style="1726" customWidth="1"/>
    <col min="11015" max="11015" width="16.7109375" style="1726" customWidth="1"/>
    <col min="11016" max="11016" width="19.7109375" style="1726" customWidth="1"/>
    <col min="11017" max="11017" width="13" style="1726" customWidth="1"/>
    <col min="11018" max="11263" width="9.140625" style="1726"/>
    <col min="11264" max="11264" width="8.5703125" style="1726" customWidth="1"/>
    <col min="11265" max="11265" width="8.140625" style="1726" customWidth="1"/>
    <col min="11266" max="11266" width="9" style="1726" customWidth="1"/>
    <col min="11267" max="11267" width="9.140625" style="1726"/>
    <col min="11268" max="11268" width="16" style="1726" customWidth="1"/>
    <col min="11269" max="11269" width="13.140625" style="1726" customWidth="1"/>
    <col min="11270" max="11270" width="14.140625" style="1726" customWidth="1"/>
    <col min="11271" max="11271" width="16.7109375" style="1726" customWidth="1"/>
    <col min="11272" max="11272" width="19.7109375" style="1726" customWidth="1"/>
    <col min="11273" max="11273" width="13" style="1726" customWidth="1"/>
    <col min="11274" max="11519" width="9.140625" style="1726"/>
    <col min="11520" max="11520" width="8.5703125" style="1726" customWidth="1"/>
    <col min="11521" max="11521" width="8.140625" style="1726" customWidth="1"/>
    <col min="11522" max="11522" width="9" style="1726" customWidth="1"/>
    <col min="11523" max="11523" width="9.140625" style="1726"/>
    <col min="11524" max="11524" width="16" style="1726" customWidth="1"/>
    <col min="11525" max="11525" width="13.140625" style="1726" customWidth="1"/>
    <col min="11526" max="11526" width="14.140625" style="1726" customWidth="1"/>
    <col min="11527" max="11527" width="16.7109375" style="1726" customWidth="1"/>
    <col min="11528" max="11528" width="19.7109375" style="1726" customWidth="1"/>
    <col min="11529" max="11529" width="13" style="1726" customWidth="1"/>
    <col min="11530" max="11775" width="9.140625" style="1726"/>
    <col min="11776" max="11776" width="8.5703125" style="1726" customWidth="1"/>
    <col min="11777" max="11777" width="8.140625" style="1726" customWidth="1"/>
    <col min="11778" max="11778" width="9" style="1726" customWidth="1"/>
    <col min="11779" max="11779" width="9.140625" style="1726"/>
    <col min="11780" max="11780" width="16" style="1726" customWidth="1"/>
    <col min="11781" max="11781" width="13.140625" style="1726" customWidth="1"/>
    <col min="11782" max="11782" width="14.140625" style="1726" customWidth="1"/>
    <col min="11783" max="11783" width="16.7109375" style="1726" customWidth="1"/>
    <col min="11784" max="11784" width="19.7109375" style="1726" customWidth="1"/>
    <col min="11785" max="11785" width="13" style="1726" customWidth="1"/>
    <col min="11786" max="12031" width="9.140625" style="1726"/>
    <col min="12032" max="12032" width="8.5703125" style="1726" customWidth="1"/>
    <col min="12033" max="12033" width="8.140625" style="1726" customWidth="1"/>
    <col min="12034" max="12034" width="9" style="1726" customWidth="1"/>
    <col min="12035" max="12035" width="9.140625" style="1726"/>
    <col min="12036" max="12036" width="16" style="1726" customWidth="1"/>
    <col min="12037" max="12037" width="13.140625" style="1726" customWidth="1"/>
    <col min="12038" max="12038" width="14.140625" style="1726" customWidth="1"/>
    <col min="12039" max="12039" width="16.7109375" style="1726" customWidth="1"/>
    <col min="12040" max="12040" width="19.7109375" style="1726" customWidth="1"/>
    <col min="12041" max="12041" width="13" style="1726" customWidth="1"/>
    <col min="12042" max="12287" width="9.140625" style="1726"/>
    <col min="12288" max="12288" width="8.5703125" style="1726" customWidth="1"/>
    <col min="12289" max="12289" width="8.140625" style="1726" customWidth="1"/>
    <col min="12290" max="12290" width="9" style="1726" customWidth="1"/>
    <col min="12291" max="12291" width="9.140625" style="1726"/>
    <col min="12292" max="12292" width="16" style="1726" customWidth="1"/>
    <col min="12293" max="12293" width="13.140625" style="1726" customWidth="1"/>
    <col min="12294" max="12294" width="14.140625" style="1726" customWidth="1"/>
    <col min="12295" max="12295" width="16.7109375" style="1726" customWidth="1"/>
    <col min="12296" max="12296" width="19.7109375" style="1726" customWidth="1"/>
    <col min="12297" max="12297" width="13" style="1726" customWidth="1"/>
    <col min="12298" max="12543" width="9.140625" style="1726"/>
    <col min="12544" max="12544" width="8.5703125" style="1726" customWidth="1"/>
    <col min="12545" max="12545" width="8.140625" style="1726" customWidth="1"/>
    <col min="12546" max="12546" width="9" style="1726" customWidth="1"/>
    <col min="12547" max="12547" width="9.140625" style="1726"/>
    <col min="12548" max="12548" width="16" style="1726" customWidth="1"/>
    <col min="12549" max="12549" width="13.140625" style="1726" customWidth="1"/>
    <col min="12550" max="12550" width="14.140625" style="1726" customWidth="1"/>
    <col min="12551" max="12551" width="16.7109375" style="1726" customWidth="1"/>
    <col min="12552" max="12552" width="19.7109375" style="1726" customWidth="1"/>
    <col min="12553" max="12553" width="13" style="1726" customWidth="1"/>
    <col min="12554" max="12799" width="9.140625" style="1726"/>
    <col min="12800" max="12800" width="8.5703125" style="1726" customWidth="1"/>
    <col min="12801" max="12801" width="8.140625" style="1726" customWidth="1"/>
    <col min="12802" max="12802" width="9" style="1726" customWidth="1"/>
    <col min="12803" max="12803" width="9.140625" style="1726"/>
    <col min="12804" max="12804" width="16" style="1726" customWidth="1"/>
    <col min="12805" max="12805" width="13.140625" style="1726" customWidth="1"/>
    <col min="12806" max="12806" width="14.140625" style="1726" customWidth="1"/>
    <col min="12807" max="12807" width="16.7109375" style="1726" customWidth="1"/>
    <col min="12808" max="12808" width="19.7109375" style="1726" customWidth="1"/>
    <col min="12809" max="12809" width="13" style="1726" customWidth="1"/>
    <col min="12810" max="13055" width="9.140625" style="1726"/>
    <col min="13056" max="13056" width="8.5703125" style="1726" customWidth="1"/>
    <col min="13057" max="13057" width="8.140625" style="1726" customWidth="1"/>
    <col min="13058" max="13058" width="9" style="1726" customWidth="1"/>
    <col min="13059" max="13059" width="9.140625" style="1726"/>
    <col min="13060" max="13060" width="16" style="1726" customWidth="1"/>
    <col min="13061" max="13061" width="13.140625" style="1726" customWidth="1"/>
    <col min="13062" max="13062" width="14.140625" style="1726" customWidth="1"/>
    <col min="13063" max="13063" width="16.7109375" style="1726" customWidth="1"/>
    <col min="13064" max="13064" width="19.7109375" style="1726" customWidth="1"/>
    <col min="13065" max="13065" width="13" style="1726" customWidth="1"/>
    <col min="13066" max="13311" width="9.140625" style="1726"/>
    <col min="13312" max="13312" width="8.5703125" style="1726" customWidth="1"/>
    <col min="13313" max="13313" width="8.140625" style="1726" customWidth="1"/>
    <col min="13314" max="13314" width="9" style="1726" customWidth="1"/>
    <col min="13315" max="13315" width="9.140625" style="1726"/>
    <col min="13316" max="13316" width="16" style="1726" customWidth="1"/>
    <col min="13317" max="13317" width="13.140625" style="1726" customWidth="1"/>
    <col min="13318" max="13318" width="14.140625" style="1726" customWidth="1"/>
    <col min="13319" max="13319" width="16.7109375" style="1726" customWidth="1"/>
    <col min="13320" max="13320" width="19.7109375" style="1726" customWidth="1"/>
    <col min="13321" max="13321" width="13" style="1726" customWidth="1"/>
    <col min="13322" max="13567" width="9.140625" style="1726"/>
    <col min="13568" max="13568" width="8.5703125" style="1726" customWidth="1"/>
    <col min="13569" max="13569" width="8.140625" style="1726" customWidth="1"/>
    <col min="13570" max="13570" width="9" style="1726" customWidth="1"/>
    <col min="13571" max="13571" width="9.140625" style="1726"/>
    <col min="13572" max="13572" width="16" style="1726" customWidth="1"/>
    <col min="13573" max="13573" width="13.140625" style="1726" customWidth="1"/>
    <col min="13574" max="13574" width="14.140625" style="1726" customWidth="1"/>
    <col min="13575" max="13575" width="16.7109375" style="1726" customWidth="1"/>
    <col min="13576" max="13576" width="19.7109375" style="1726" customWidth="1"/>
    <col min="13577" max="13577" width="13" style="1726" customWidth="1"/>
    <col min="13578" max="13823" width="9.140625" style="1726"/>
    <col min="13824" max="13824" width="8.5703125" style="1726" customWidth="1"/>
    <col min="13825" max="13825" width="8.140625" style="1726" customWidth="1"/>
    <col min="13826" max="13826" width="9" style="1726" customWidth="1"/>
    <col min="13827" max="13827" width="9.140625" style="1726"/>
    <col min="13828" max="13828" width="16" style="1726" customWidth="1"/>
    <col min="13829" max="13829" width="13.140625" style="1726" customWidth="1"/>
    <col min="13830" max="13830" width="14.140625" style="1726" customWidth="1"/>
    <col min="13831" max="13831" width="16.7109375" style="1726" customWidth="1"/>
    <col min="13832" max="13832" width="19.7109375" style="1726" customWidth="1"/>
    <col min="13833" max="13833" width="13" style="1726" customWidth="1"/>
    <col min="13834" max="14079" width="9.140625" style="1726"/>
    <col min="14080" max="14080" width="8.5703125" style="1726" customWidth="1"/>
    <col min="14081" max="14081" width="8.140625" style="1726" customWidth="1"/>
    <col min="14082" max="14082" width="9" style="1726" customWidth="1"/>
    <col min="14083" max="14083" width="9.140625" style="1726"/>
    <col min="14084" max="14084" width="16" style="1726" customWidth="1"/>
    <col min="14085" max="14085" width="13.140625" style="1726" customWidth="1"/>
    <col min="14086" max="14086" width="14.140625" style="1726" customWidth="1"/>
    <col min="14087" max="14087" width="16.7109375" style="1726" customWidth="1"/>
    <col min="14088" max="14088" width="19.7109375" style="1726" customWidth="1"/>
    <col min="14089" max="14089" width="13" style="1726" customWidth="1"/>
    <col min="14090" max="14335" width="9.140625" style="1726"/>
    <col min="14336" max="14336" width="8.5703125" style="1726" customWidth="1"/>
    <col min="14337" max="14337" width="8.140625" style="1726" customWidth="1"/>
    <col min="14338" max="14338" width="9" style="1726" customWidth="1"/>
    <col min="14339" max="14339" width="9.140625" style="1726"/>
    <col min="14340" max="14340" width="16" style="1726" customWidth="1"/>
    <col min="14341" max="14341" width="13.140625" style="1726" customWidth="1"/>
    <col min="14342" max="14342" width="14.140625" style="1726" customWidth="1"/>
    <col min="14343" max="14343" width="16.7109375" style="1726" customWidth="1"/>
    <col min="14344" max="14344" width="19.7109375" style="1726" customWidth="1"/>
    <col min="14345" max="14345" width="13" style="1726" customWidth="1"/>
    <col min="14346" max="14591" width="9.140625" style="1726"/>
    <col min="14592" max="14592" width="8.5703125" style="1726" customWidth="1"/>
    <col min="14593" max="14593" width="8.140625" style="1726" customWidth="1"/>
    <col min="14594" max="14594" width="9" style="1726" customWidth="1"/>
    <col min="14595" max="14595" width="9.140625" style="1726"/>
    <col min="14596" max="14596" width="16" style="1726" customWidth="1"/>
    <col min="14597" max="14597" width="13.140625" style="1726" customWidth="1"/>
    <col min="14598" max="14598" width="14.140625" style="1726" customWidth="1"/>
    <col min="14599" max="14599" width="16.7109375" style="1726" customWidth="1"/>
    <col min="14600" max="14600" width="19.7109375" style="1726" customWidth="1"/>
    <col min="14601" max="14601" width="13" style="1726" customWidth="1"/>
    <col min="14602" max="14847" width="9.140625" style="1726"/>
    <col min="14848" max="14848" width="8.5703125" style="1726" customWidth="1"/>
    <col min="14849" max="14849" width="8.140625" style="1726" customWidth="1"/>
    <col min="14850" max="14850" width="9" style="1726" customWidth="1"/>
    <col min="14851" max="14851" width="9.140625" style="1726"/>
    <col min="14852" max="14852" width="16" style="1726" customWidth="1"/>
    <col min="14853" max="14853" width="13.140625" style="1726" customWidth="1"/>
    <col min="14854" max="14854" width="14.140625" style="1726" customWidth="1"/>
    <col min="14855" max="14855" width="16.7109375" style="1726" customWidth="1"/>
    <col min="14856" max="14856" width="19.7109375" style="1726" customWidth="1"/>
    <col min="14857" max="14857" width="13" style="1726" customWidth="1"/>
    <col min="14858" max="15103" width="9.140625" style="1726"/>
    <col min="15104" max="15104" width="8.5703125" style="1726" customWidth="1"/>
    <col min="15105" max="15105" width="8.140625" style="1726" customWidth="1"/>
    <col min="15106" max="15106" width="9" style="1726" customWidth="1"/>
    <col min="15107" max="15107" width="9.140625" style="1726"/>
    <col min="15108" max="15108" width="16" style="1726" customWidth="1"/>
    <col min="15109" max="15109" width="13.140625" style="1726" customWidth="1"/>
    <col min="15110" max="15110" width="14.140625" style="1726" customWidth="1"/>
    <col min="15111" max="15111" width="16.7109375" style="1726" customWidth="1"/>
    <col min="15112" max="15112" width="19.7109375" style="1726" customWidth="1"/>
    <col min="15113" max="15113" width="13" style="1726" customWidth="1"/>
    <col min="15114" max="15359" width="9.140625" style="1726"/>
    <col min="15360" max="15360" width="8.5703125" style="1726" customWidth="1"/>
    <col min="15361" max="15361" width="8.140625" style="1726" customWidth="1"/>
    <col min="15362" max="15362" width="9" style="1726" customWidth="1"/>
    <col min="15363" max="15363" width="9.140625" style="1726"/>
    <col min="15364" max="15364" width="16" style="1726" customWidth="1"/>
    <col min="15365" max="15365" width="13.140625" style="1726" customWidth="1"/>
    <col min="15366" max="15366" width="14.140625" style="1726" customWidth="1"/>
    <col min="15367" max="15367" width="16.7109375" style="1726" customWidth="1"/>
    <col min="15368" max="15368" width="19.7109375" style="1726" customWidth="1"/>
    <col min="15369" max="15369" width="13" style="1726" customWidth="1"/>
    <col min="15370" max="15615" width="9.140625" style="1726"/>
    <col min="15616" max="15616" width="8.5703125" style="1726" customWidth="1"/>
    <col min="15617" max="15617" width="8.140625" style="1726" customWidth="1"/>
    <col min="15618" max="15618" width="9" style="1726" customWidth="1"/>
    <col min="15619" max="15619" width="9.140625" style="1726"/>
    <col min="15620" max="15620" width="16" style="1726" customWidth="1"/>
    <col min="15621" max="15621" width="13.140625" style="1726" customWidth="1"/>
    <col min="15622" max="15622" width="14.140625" style="1726" customWidth="1"/>
    <col min="15623" max="15623" width="16.7109375" style="1726" customWidth="1"/>
    <col min="15624" max="15624" width="19.7109375" style="1726" customWidth="1"/>
    <col min="15625" max="15625" width="13" style="1726" customWidth="1"/>
    <col min="15626" max="15871" width="9.140625" style="1726"/>
    <col min="15872" max="15872" width="8.5703125" style="1726" customWidth="1"/>
    <col min="15873" max="15873" width="8.140625" style="1726" customWidth="1"/>
    <col min="15874" max="15874" width="9" style="1726" customWidth="1"/>
    <col min="15875" max="15875" width="9.140625" style="1726"/>
    <col min="15876" max="15876" width="16" style="1726" customWidth="1"/>
    <col min="15877" max="15877" width="13.140625" style="1726" customWidth="1"/>
    <col min="15878" max="15878" width="14.140625" style="1726" customWidth="1"/>
    <col min="15879" max="15879" width="16.7109375" style="1726" customWidth="1"/>
    <col min="15880" max="15880" width="19.7109375" style="1726" customWidth="1"/>
    <col min="15881" max="15881" width="13" style="1726" customWidth="1"/>
    <col min="15882" max="16127" width="9.140625" style="1726"/>
    <col min="16128" max="16128" width="8.5703125" style="1726" customWidth="1"/>
    <col min="16129" max="16129" width="8.140625" style="1726" customWidth="1"/>
    <col min="16130" max="16130" width="9" style="1726" customWidth="1"/>
    <col min="16131" max="16131" width="9.140625" style="1726"/>
    <col min="16132" max="16132" width="16" style="1726" customWidth="1"/>
    <col min="16133" max="16133" width="13.140625" style="1726" customWidth="1"/>
    <col min="16134" max="16134" width="14.140625" style="1726" customWidth="1"/>
    <col min="16135" max="16135" width="16.7109375" style="1726" customWidth="1"/>
    <col min="16136" max="16136" width="19.7109375" style="1726" customWidth="1"/>
    <col min="16137" max="16137" width="13" style="1726" customWidth="1"/>
    <col min="16138" max="16384" width="9.140625" style="1726"/>
  </cols>
  <sheetData>
    <row r="1" spans="1:19" ht="22.5" customHeight="1" x14ac:dyDescent="0.25">
      <c r="A1" s="1727" t="s">
        <v>1988</v>
      </c>
      <c r="B1" s="1727"/>
      <c r="C1" s="1727"/>
      <c r="D1" s="1727"/>
      <c r="F1" s="1729"/>
      <c r="G1" s="3280" t="s">
        <v>1042</v>
      </c>
      <c r="H1" s="3280"/>
      <c r="J1" s="1729"/>
      <c r="K1" s="1729"/>
      <c r="L1" s="1729"/>
      <c r="M1" s="1729"/>
      <c r="N1" s="1729"/>
      <c r="P1" s="1729"/>
      <c r="Q1" s="1729"/>
      <c r="R1" s="1729"/>
      <c r="S1" s="1729"/>
    </row>
    <row r="2" spans="1:19" ht="20.25" customHeight="1" x14ac:dyDescent="0.25">
      <c r="A2" s="3277" t="s">
        <v>1537</v>
      </c>
      <c r="B2" s="3277"/>
      <c r="C2" s="3277"/>
      <c r="D2" s="3277"/>
      <c r="E2" s="3277"/>
      <c r="F2" s="3277"/>
      <c r="G2" s="3277"/>
      <c r="H2" s="3277"/>
      <c r="J2" s="1731"/>
      <c r="K2" s="1731"/>
      <c r="L2" s="1731"/>
      <c r="M2" s="1731"/>
      <c r="N2" s="1731"/>
      <c r="P2" s="1731"/>
      <c r="Q2" s="1731"/>
      <c r="R2" s="1731"/>
      <c r="S2" s="1731"/>
    </row>
    <row r="3" spans="1:19" ht="25.5" customHeight="1" x14ac:dyDescent="0.25">
      <c r="A3" s="3279" t="str">
        <f>'62_TT342'!A3:I3</f>
        <v>(Kèm theo Quyết định số          /QĐ-UBND ngày          /4/2026 của UBND phường Bắc Kạn)</v>
      </c>
      <c r="B3" s="3279"/>
      <c r="C3" s="3279"/>
      <c r="D3" s="3279"/>
      <c r="E3" s="3279"/>
      <c r="F3" s="3279"/>
      <c r="G3" s="3279"/>
      <c r="H3" s="3279"/>
      <c r="J3" s="1731"/>
      <c r="K3" s="1731"/>
      <c r="L3" s="1731"/>
      <c r="M3" s="1731"/>
      <c r="N3" s="1731"/>
      <c r="P3" s="1731"/>
      <c r="Q3" s="1731"/>
      <c r="R3" s="1731"/>
      <c r="S3" s="1731"/>
    </row>
    <row r="4" spans="1:19" ht="21" customHeight="1" x14ac:dyDescent="0.25">
      <c r="G4" s="3281" t="s">
        <v>2019</v>
      </c>
      <c r="H4" s="3281"/>
      <c r="J4" s="1729"/>
      <c r="K4" s="1729"/>
      <c r="L4" s="1729"/>
      <c r="M4" s="1729"/>
      <c r="N4" s="1729"/>
      <c r="P4" s="1729"/>
      <c r="Q4" s="1729"/>
      <c r="R4" s="1729"/>
      <c r="S4" s="1729"/>
    </row>
    <row r="5" spans="1:19" ht="44.25" customHeight="1" x14ac:dyDescent="0.25">
      <c r="A5" s="1725" t="s">
        <v>1538</v>
      </c>
      <c r="B5" s="1725" t="s">
        <v>142</v>
      </c>
      <c r="C5" s="1725" t="s">
        <v>143</v>
      </c>
      <c r="D5" s="1725" t="s">
        <v>144</v>
      </c>
      <c r="E5" s="1725" t="s">
        <v>903</v>
      </c>
      <c r="F5" s="1725" t="s">
        <v>904</v>
      </c>
      <c r="G5" s="1725" t="s">
        <v>905</v>
      </c>
      <c r="H5" s="1725" t="s">
        <v>146</v>
      </c>
      <c r="I5" s="1726" t="s">
        <v>1539</v>
      </c>
    </row>
    <row r="6" spans="1:19" ht="23.25" customHeight="1" x14ac:dyDescent="0.2">
      <c r="A6" s="1732"/>
      <c r="B6" s="3282" t="s">
        <v>511</v>
      </c>
      <c r="C6" s="3282"/>
      <c r="D6" s="1733" t="s">
        <v>1646</v>
      </c>
      <c r="E6" s="2447">
        <v>444538597273</v>
      </c>
      <c r="F6" s="2447">
        <v>889360578</v>
      </c>
      <c r="G6" s="2447">
        <v>66071999324</v>
      </c>
      <c r="H6" s="2447">
        <v>377577237371</v>
      </c>
    </row>
    <row r="7" spans="1:19" ht="18.75" customHeight="1" x14ac:dyDescent="0.2">
      <c r="A7" s="2448" t="s">
        <v>1448</v>
      </c>
      <c r="B7" s="2449" t="s">
        <v>1646</v>
      </c>
      <c r="C7" s="2449" t="s">
        <v>1646</v>
      </c>
      <c r="D7" s="2449" t="s">
        <v>1646</v>
      </c>
      <c r="E7" s="2447">
        <v>534436693</v>
      </c>
      <c r="F7" s="2447">
        <v>198960250</v>
      </c>
      <c r="G7" s="2447">
        <v>335476443</v>
      </c>
      <c r="H7" s="2447">
        <v>0</v>
      </c>
    </row>
    <row r="8" spans="1:19" ht="18.75" customHeight="1" x14ac:dyDescent="0.2">
      <c r="A8" s="2449" t="s">
        <v>1448</v>
      </c>
      <c r="B8" s="2449" t="s">
        <v>1989</v>
      </c>
      <c r="C8" s="2449" t="s">
        <v>1646</v>
      </c>
      <c r="D8" s="2449" t="s">
        <v>1646</v>
      </c>
      <c r="E8" s="2450">
        <v>107488555</v>
      </c>
      <c r="F8" s="2450">
        <v>107458015</v>
      </c>
      <c r="G8" s="2450">
        <v>30540</v>
      </c>
      <c r="H8" s="2450">
        <v>0</v>
      </c>
    </row>
    <row r="9" spans="1:19" ht="18.75" customHeight="1" x14ac:dyDescent="0.2">
      <c r="A9" s="2449" t="s">
        <v>1448</v>
      </c>
      <c r="B9" s="2449" t="s">
        <v>1989</v>
      </c>
      <c r="C9" s="2449" t="s">
        <v>1540</v>
      </c>
      <c r="D9" s="2449" t="s">
        <v>1646</v>
      </c>
      <c r="E9" s="2450">
        <v>13147160</v>
      </c>
      <c r="F9" s="2450">
        <v>13147160</v>
      </c>
      <c r="G9" s="2450">
        <v>0</v>
      </c>
      <c r="H9" s="2450">
        <v>0</v>
      </c>
    </row>
    <row r="10" spans="1:19" ht="18.75" customHeight="1" x14ac:dyDescent="0.2">
      <c r="A10" s="2449" t="s">
        <v>1448</v>
      </c>
      <c r="B10" s="2449" t="s">
        <v>1989</v>
      </c>
      <c r="C10" s="2449" t="s">
        <v>1540</v>
      </c>
      <c r="D10" s="2449" t="s">
        <v>1990</v>
      </c>
      <c r="E10" s="2450">
        <v>9032160</v>
      </c>
      <c r="F10" s="2450">
        <v>9032160</v>
      </c>
      <c r="G10" s="2450">
        <v>0</v>
      </c>
      <c r="H10" s="2450">
        <v>0</v>
      </c>
    </row>
    <row r="11" spans="1:19" ht="18.75" customHeight="1" x14ac:dyDescent="0.2">
      <c r="A11" s="2449" t="s">
        <v>1448</v>
      </c>
      <c r="B11" s="2449" t="s">
        <v>1989</v>
      </c>
      <c r="C11" s="2449" t="s">
        <v>1540</v>
      </c>
      <c r="D11" s="2449" t="s">
        <v>1991</v>
      </c>
      <c r="E11" s="2450">
        <v>4115000</v>
      </c>
      <c r="F11" s="2450">
        <v>4115000</v>
      </c>
      <c r="G11" s="2450">
        <v>0</v>
      </c>
      <c r="H11" s="2450">
        <v>0</v>
      </c>
    </row>
    <row r="12" spans="1:19" ht="18.75" customHeight="1" x14ac:dyDescent="0.2">
      <c r="A12" s="2449" t="s">
        <v>1448</v>
      </c>
      <c r="B12" s="2449" t="s">
        <v>1989</v>
      </c>
      <c r="C12" s="2449" t="s">
        <v>1541</v>
      </c>
      <c r="D12" s="2449" t="s">
        <v>1646</v>
      </c>
      <c r="E12" s="2450">
        <v>86800000</v>
      </c>
      <c r="F12" s="2450">
        <v>86800000</v>
      </c>
      <c r="G12" s="2450">
        <v>0</v>
      </c>
      <c r="H12" s="2450">
        <v>0</v>
      </c>
    </row>
    <row r="13" spans="1:19" ht="18.75" customHeight="1" x14ac:dyDescent="0.2">
      <c r="A13" s="2449" t="s">
        <v>1448</v>
      </c>
      <c r="B13" s="2449" t="s">
        <v>1989</v>
      </c>
      <c r="C13" s="2449" t="s">
        <v>1541</v>
      </c>
      <c r="D13" s="2449" t="s">
        <v>1992</v>
      </c>
      <c r="E13" s="2450">
        <v>86800000</v>
      </c>
      <c r="F13" s="2450">
        <v>86800000</v>
      </c>
      <c r="G13" s="2450">
        <v>0</v>
      </c>
      <c r="H13" s="2450">
        <v>0</v>
      </c>
    </row>
    <row r="14" spans="1:19" ht="18.75" customHeight="1" x14ac:dyDescent="0.2">
      <c r="A14" s="2449" t="s">
        <v>1448</v>
      </c>
      <c r="B14" s="2449" t="s">
        <v>1989</v>
      </c>
      <c r="C14" s="2449" t="s">
        <v>1862</v>
      </c>
      <c r="D14" s="2449" t="s">
        <v>1646</v>
      </c>
      <c r="E14" s="2450">
        <v>7500000</v>
      </c>
      <c r="F14" s="2450">
        <v>7500000</v>
      </c>
      <c r="G14" s="2450">
        <v>0</v>
      </c>
      <c r="H14" s="2450">
        <v>0</v>
      </c>
    </row>
    <row r="15" spans="1:19" ht="18.75" customHeight="1" x14ac:dyDescent="0.2">
      <c r="A15" s="2449" t="s">
        <v>1448</v>
      </c>
      <c r="B15" s="2449" t="s">
        <v>1989</v>
      </c>
      <c r="C15" s="2449" t="s">
        <v>1862</v>
      </c>
      <c r="D15" s="2449" t="s">
        <v>1993</v>
      </c>
      <c r="E15" s="2450">
        <v>5500000</v>
      </c>
      <c r="F15" s="2450">
        <v>5500000</v>
      </c>
      <c r="G15" s="2450">
        <v>0</v>
      </c>
      <c r="H15" s="2450">
        <v>0</v>
      </c>
    </row>
    <row r="16" spans="1:19" ht="18.75" customHeight="1" x14ac:dyDescent="0.2">
      <c r="A16" s="2449" t="s">
        <v>1448</v>
      </c>
      <c r="B16" s="2449" t="s">
        <v>1989</v>
      </c>
      <c r="C16" s="2449" t="s">
        <v>1862</v>
      </c>
      <c r="D16" s="2449" t="s">
        <v>1994</v>
      </c>
      <c r="E16" s="2450">
        <v>2000000</v>
      </c>
      <c r="F16" s="2450">
        <v>2000000</v>
      </c>
      <c r="G16" s="2450">
        <v>0</v>
      </c>
      <c r="H16" s="2450">
        <v>0</v>
      </c>
    </row>
    <row r="17" spans="1:8" ht="18.75" customHeight="1" x14ac:dyDescent="0.2">
      <c r="A17" s="2449" t="s">
        <v>1448</v>
      </c>
      <c r="B17" s="2449" t="s">
        <v>1989</v>
      </c>
      <c r="C17" s="2449" t="s">
        <v>1542</v>
      </c>
      <c r="D17" s="2449" t="s">
        <v>1646</v>
      </c>
      <c r="E17" s="2450">
        <v>41395</v>
      </c>
      <c r="F17" s="2450">
        <v>10855</v>
      </c>
      <c r="G17" s="2450">
        <v>30540</v>
      </c>
      <c r="H17" s="2450">
        <v>0</v>
      </c>
    </row>
    <row r="18" spans="1:8" ht="18.75" customHeight="1" x14ac:dyDescent="0.2">
      <c r="A18" s="2449" t="s">
        <v>1448</v>
      </c>
      <c r="B18" s="2449" t="s">
        <v>1989</v>
      </c>
      <c r="C18" s="2449" t="s">
        <v>1542</v>
      </c>
      <c r="D18" s="2449" t="s">
        <v>1554</v>
      </c>
      <c r="E18" s="2450">
        <v>30540</v>
      </c>
      <c r="F18" s="2450">
        <v>0</v>
      </c>
      <c r="G18" s="2450">
        <v>30540</v>
      </c>
      <c r="H18" s="2450">
        <v>0</v>
      </c>
    </row>
    <row r="19" spans="1:8" ht="18.75" customHeight="1" x14ac:dyDescent="0.2">
      <c r="A19" s="2449" t="s">
        <v>1448</v>
      </c>
      <c r="B19" s="2449" t="s">
        <v>1989</v>
      </c>
      <c r="C19" s="2449" t="s">
        <v>1542</v>
      </c>
      <c r="D19" s="2449" t="s">
        <v>1555</v>
      </c>
      <c r="E19" s="2450">
        <v>10855</v>
      </c>
      <c r="F19" s="2450">
        <v>10855</v>
      </c>
      <c r="G19" s="2450">
        <v>0</v>
      </c>
      <c r="H19" s="2450">
        <v>0</v>
      </c>
    </row>
    <row r="20" spans="1:8" ht="18.75" customHeight="1" x14ac:dyDescent="0.2">
      <c r="A20" s="2449" t="s">
        <v>1448</v>
      </c>
      <c r="B20" s="2449" t="s">
        <v>1724</v>
      </c>
      <c r="C20" s="2449" t="s">
        <v>1646</v>
      </c>
      <c r="D20" s="2449" t="s">
        <v>1646</v>
      </c>
      <c r="E20" s="2450">
        <v>71658923</v>
      </c>
      <c r="F20" s="2450">
        <v>0</v>
      </c>
      <c r="G20" s="2450">
        <v>71658923</v>
      </c>
      <c r="H20" s="2450">
        <v>0</v>
      </c>
    </row>
    <row r="21" spans="1:8" ht="18.75" customHeight="1" x14ac:dyDescent="0.2">
      <c r="A21" s="2449" t="s">
        <v>1448</v>
      </c>
      <c r="B21" s="2449" t="s">
        <v>1724</v>
      </c>
      <c r="C21" s="2449" t="s">
        <v>1543</v>
      </c>
      <c r="D21" s="2449" t="s">
        <v>1646</v>
      </c>
      <c r="E21" s="2450">
        <v>2608704</v>
      </c>
      <c r="F21" s="2450">
        <v>0</v>
      </c>
      <c r="G21" s="2450">
        <v>2608704</v>
      </c>
      <c r="H21" s="2450">
        <v>0</v>
      </c>
    </row>
    <row r="22" spans="1:8" ht="18.75" customHeight="1" x14ac:dyDescent="0.2">
      <c r="A22" s="2449" t="s">
        <v>1448</v>
      </c>
      <c r="B22" s="2449" t="s">
        <v>1724</v>
      </c>
      <c r="C22" s="2449" t="s">
        <v>1543</v>
      </c>
      <c r="D22" s="2449" t="s">
        <v>1885</v>
      </c>
      <c r="E22" s="2450">
        <v>2608704</v>
      </c>
      <c r="F22" s="2450">
        <v>0</v>
      </c>
      <c r="G22" s="2450">
        <v>2608704</v>
      </c>
      <c r="H22" s="2450">
        <v>0</v>
      </c>
    </row>
    <row r="23" spans="1:8" ht="18.75" customHeight="1" x14ac:dyDescent="0.2">
      <c r="A23" s="2449" t="s">
        <v>1448</v>
      </c>
      <c r="B23" s="2449" t="s">
        <v>1724</v>
      </c>
      <c r="C23" s="2449" t="s">
        <v>1544</v>
      </c>
      <c r="D23" s="2449" t="s">
        <v>1646</v>
      </c>
      <c r="E23" s="2450">
        <v>69050219</v>
      </c>
      <c r="F23" s="2450">
        <v>0</v>
      </c>
      <c r="G23" s="2450">
        <v>69050219</v>
      </c>
      <c r="H23" s="2450">
        <v>0</v>
      </c>
    </row>
    <row r="24" spans="1:8" ht="18.75" customHeight="1" x14ac:dyDescent="0.2">
      <c r="A24" s="2449" t="s">
        <v>1448</v>
      </c>
      <c r="B24" s="2449" t="s">
        <v>1724</v>
      </c>
      <c r="C24" s="2449" t="s">
        <v>1544</v>
      </c>
      <c r="D24" s="2449" t="s">
        <v>1545</v>
      </c>
      <c r="E24" s="2450">
        <v>69050219</v>
      </c>
      <c r="F24" s="2450">
        <v>0</v>
      </c>
      <c r="G24" s="2450">
        <v>69050219</v>
      </c>
      <c r="H24" s="2450">
        <v>0</v>
      </c>
    </row>
    <row r="25" spans="1:8" ht="18.75" customHeight="1" x14ac:dyDescent="0.2">
      <c r="A25" s="2449" t="s">
        <v>1448</v>
      </c>
      <c r="B25" s="2449" t="s">
        <v>1995</v>
      </c>
      <c r="C25" s="2449" t="s">
        <v>1646</v>
      </c>
      <c r="D25" s="2449" t="s">
        <v>1646</v>
      </c>
      <c r="E25" s="2450">
        <v>91502235</v>
      </c>
      <c r="F25" s="2450">
        <v>91502235</v>
      </c>
      <c r="G25" s="2450">
        <v>0</v>
      </c>
      <c r="H25" s="2450">
        <v>0</v>
      </c>
    </row>
    <row r="26" spans="1:8" ht="18.75" customHeight="1" x14ac:dyDescent="0.2">
      <c r="A26" s="2449" t="s">
        <v>1448</v>
      </c>
      <c r="B26" s="2449" t="s">
        <v>1995</v>
      </c>
      <c r="C26" s="2449" t="s">
        <v>1549</v>
      </c>
      <c r="D26" s="2449" t="s">
        <v>1646</v>
      </c>
      <c r="E26" s="2450">
        <v>91502235</v>
      </c>
      <c r="F26" s="2450">
        <v>91502235</v>
      </c>
      <c r="G26" s="2450">
        <v>0</v>
      </c>
      <c r="H26" s="2450">
        <v>0</v>
      </c>
    </row>
    <row r="27" spans="1:8" ht="18.75" customHeight="1" x14ac:dyDescent="0.2">
      <c r="A27" s="2449" t="s">
        <v>1448</v>
      </c>
      <c r="B27" s="2449" t="s">
        <v>1995</v>
      </c>
      <c r="C27" s="2449" t="s">
        <v>1549</v>
      </c>
      <c r="D27" s="2449" t="s">
        <v>1996</v>
      </c>
      <c r="E27" s="2450">
        <v>80439897</v>
      </c>
      <c r="F27" s="2450">
        <v>80439897</v>
      </c>
      <c r="G27" s="2450">
        <v>0</v>
      </c>
      <c r="H27" s="2450">
        <v>0</v>
      </c>
    </row>
    <row r="28" spans="1:8" ht="18.75" customHeight="1" x14ac:dyDescent="0.2">
      <c r="A28" s="2449" t="s">
        <v>1448</v>
      </c>
      <c r="B28" s="2449" t="s">
        <v>1995</v>
      </c>
      <c r="C28" s="2449" t="s">
        <v>1549</v>
      </c>
      <c r="D28" s="2449" t="s">
        <v>1997</v>
      </c>
      <c r="E28" s="2450">
        <v>11062338</v>
      </c>
      <c r="F28" s="2450">
        <v>11062338</v>
      </c>
      <c r="G28" s="2450">
        <v>0</v>
      </c>
      <c r="H28" s="2450">
        <v>0</v>
      </c>
    </row>
    <row r="29" spans="1:8" ht="18.75" customHeight="1" x14ac:dyDescent="0.2">
      <c r="A29" s="2449" t="s">
        <v>1448</v>
      </c>
      <c r="B29" s="2449" t="s">
        <v>1998</v>
      </c>
      <c r="C29" s="2449" t="s">
        <v>1646</v>
      </c>
      <c r="D29" s="2449" t="s">
        <v>1646</v>
      </c>
      <c r="E29" s="2450">
        <v>16760680</v>
      </c>
      <c r="F29" s="2450">
        <v>0</v>
      </c>
      <c r="G29" s="2450">
        <v>16760680</v>
      </c>
      <c r="H29" s="2450">
        <v>0</v>
      </c>
    </row>
    <row r="30" spans="1:8" ht="18.75" customHeight="1" x14ac:dyDescent="0.2">
      <c r="A30" s="2449" t="s">
        <v>1448</v>
      </c>
      <c r="B30" s="2449" t="s">
        <v>1998</v>
      </c>
      <c r="C30" s="2449" t="s">
        <v>1543</v>
      </c>
      <c r="D30" s="2449" t="s">
        <v>1646</v>
      </c>
      <c r="E30" s="2450">
        <v>15760680</v>
      </c>
      <c r="F30" s="2450">
        <v>0</v>
      </c>
      <c r="G30" s="2450">
        <v>15760680</v>
      </c>
      <c r="H30" s="2450">
        <v>0</v>
      </c>
    </row>
    <row r="31" spans="1:8" ht="18.75" customHeight="1" x14ac:dyDescent="0.2">
      <c r="A31" s="2449" t="s">
        <v>1448</v>
      </c>
      <c r="B31" s="2449" t="s">
        <v>1998</v>
      </c>
      <c r="C31" s="2449" t="s">
        <v>1543</v>
      </c>
      <c r="D31" s="2449" t="s">
        <v>1885</v>
      </c>
      <c r="E31" s="2450">
        <v>15760680</v>
      </c>
      <c r="F31" s="2450">
        <v>0</v>
      </c>
      <c r="G31" s="2450">
        <v>15760680</v>
      </c>
      <c r="H31" s="2450">
        <v>0</v>
      </c>
    </row>
    <row r="32" spans="1:8" ht="18.75" customHeight="1" x14ac:dyDescent="0.2">
      <c r="A32" s="2449" t="s">
        <v>1448</v>
      </c>
      <c r="B32" s="2449" t="s">
        <v>1998</v>
      </c>
      <c r="C32" s="2449" t="s">
        <v>1573</v>
      </c>
      <c r="D32" s="2449" t="s">
        <v>1646</v>
      </c>
      <c r="E32" s="2450">
        <v>1000000</v>
      </c>
      <c r="F32" s="2450">
        <v>0</v>
      </c>
      <c r="G32" s="2450">
        <v>1000000</v>
      </c>
      <c r="H32" s="2450">
        <v>0</v>
      </c>
    </row>
    <row r="33" spans="1:8" ht="18.75" customHeight="1" x14ac:dyDescent="0.2">
      <c r="A33" s="2449" t="s">
        <v>1448</v>
      </c>
      <c r="B33" s="2449" t="s">
        <v>1998</v>
      </c>
      <c r="C33" s="2449" t="s">
        <v>1573</v>
      </c>
      <c r="D33" s="2449" t="s">
        <v>1576</v>
      </c>
      <c r="E33" s="2450">
        <v>1000000</v>
      </c>
      <c r="F33" s="2450">
        <v>0</v>
      </c>
      <c r="G33" s="2450">
        <v>1000000</v>
      </c>
      <c r="H33" s="2450">
        <v>0</v>
      </c>
    </row>
    <row r="34" spans="1:8" ht="18.75" customHeight="1" x14ac:dyDescent="0.2">
      <c r="A34" s="2449" t="s">
        <v>1448</v>
      </c>
      <c r="B34" s="2449" t="s">
        <v>1999</v>
      </c>
      <c r="C34" s="2449" t="s">
        <v>1646</v>
      </c>
      <c r="D34" s="2449" t="s">
        <v>1646</v>
      </c>
      <c r="E34" s="2450">
        <v>99662300</v>
      </c>
      <c r="F34" s="2450">
        <v>0</v>
      </c>
      <c r="G34" s="2450">
        <v>99662300</v>
      </c>
      <c r="H34" s="2450">
        <v>0</v>
      </c>
    </row>
    <row r="35" spans="1:8" ht="18.75" customHeight="1" x14ac:dyDescent="0.2">
      <c r="A35" s="2449" t="s">
        <v>1448</v>
      </c>
      <c r="B35" s="2449" t="s">
        <v>1999</v>
      </c>
      <c r="C35" s="2449" t="s">
        <v>1543</v>
      </c>
      <c r="D35" s="2449" t="s">
        <v>1646</v>
      </c>
      <c r="E35" s="2450">
        <v>17862300</v>
      </c>
      <c r="F35" s="2450">
        <v>0</v>
      </c>
      <c r="G35" s="2450">
        <v>17862300</v>
      </c>
      <c r="H35" s="2450">
        <v>0</v>
      </c>
    </row>
    <row r="36" spans="1:8" ht="18.75" customHeight="1" x14ac:dyDescent="0.2">
      <c r="A36" s="2449" t="s">
        <v>1448</v>
      </c>
      <c r="B36" s="2449" t="s">
        <v>1999</v>
      </c>
      <c r="C36" s="2449" t="s">
        <v>1543</v>
      </c>
      <c r="D36" s="2449" t="s">
        <v>1885</v>
      </c>
      <c r="E36" s="2450">
        <v>17862300</v>
      </c>
      <c r="F36" s="2450">
        <v>0</v>
      </c>
      <c r="G36" s="2450">
        <v>17862300</v>
      </c>
      <c r="H36" s="2450">
        <v>0</v>
      </c>
    </row>
    <row r="37" spans="1:8" ht="18.75" customHeight="1" x14ac:dyDescent="0.2">
      <c r="A37" s="2449" t="s">
        <v>1448</v>
      </c>
      <c r="B37" s="2449" t="s">
        <v>1999</v>
      </c>
      <c r="C37" s="2449" t="s">
        <v>1541</v>
      </c>
      <c r="D37" s="2449" t="s">
        <v>1646</v>
      </c>
      <c r="E37" s="2450">
        <v>81800000</v>
      </c>
      <c r="F37" s="2450">
        <v>0</v>
      </c>
      <c r="G37" s="2450">
        <v>81800000</v>
      </c>
      <c r="H37" s="2450">
        <v>0</v>
      </c>
    </row>
    <row r="38" spans="1:8" ht="18.75" customHeight="1" x14ac:dyDescent="0.2">
      <c r="A38" s="2449" t="s">
        <v>1448</v>
      </c>
      <c r="B38" s="2449" t="s">
        <v>1999</v>
      </c>
      <c r="C38" s="2449" t="s">
        <v>1541</v>
      </c>
      <c r="D38" s="2449" t="s">
        <v>1563</v>
      </c>
      <c r="E38" s="2450">
        <v>81800000</v>
      </c>
      <c r="F38" s="2450">
        <v>0</v>
      </c>
      <c r="G38" s="2450">
        <v>81800000</v>
      </c>
      <c r="H38" s="2450">
        <v>0</v>
      </c>
    </row>
    <row r="39" spans="1:8" ht="18.75" customHeight="1" x14ac:dyDescent="0.2">
      <c r="A39" s="2449" t="s">
        <v>1448</v>
      </c>
      <c r="B39" s="2449" t="s">
        <v>2000</v>
      </c>
      <c r="C39" s="2449" t="s">
        <v>1646</v>
      </c>
      <c r="D39" s="2449" t="s">
        <v>1646</v>
      </c>
      <c r="E39" s="2450">
        <v>129900000</v>
      </c>
      <c r="F39" s="2450">
        <v>0</v>
      </c>
      <c r="G39" s="2450">
        <v>129900000</v>
      </c>
      <c r="H39" s="2450">
        <v>0</v>
      </c>
    </row>
    <row r="40" spans="1:8" ht="18.75" customHeight="1" x14ac:dyDescent="0.2">
      <c r="A40" s="2449" t="s">
        <v>1448</v>
      </c>
      <c r="B40" s="2449" t="s">
        <v>2000</v>
      </c>
      <c r="C40" s="2449" t="s">
        <v>1541</v>
      </c>
      <c r="D40" s="2449" t="s">
        <v>1646</v>
      </c>
      <c r="E40" s="2450">
        <v>129900000</v>
      </c>
      <c r="F40" s="2450">
        <v>0</v>
      </c>
      <c r="G40" s="2450">
        <v>129900000</v>
      </c>
      <c r="H40" s="2450">
        <v>0</v>
      </c>
    </row>
    <row r="41" spans="1:8" ht="18.75" customHeight="1" x14ac:dyDescent="0.2">
      <c r="A41" s="2449" t="s">
        <v>1448</v>
      </c>
      <c r="B41" s="2449" t="s">
        <v>2000</v>
      </c>
      <c r="C41" s="2449" t="s">
        <v>1541</v>
      </c>
      <c r="D41" s="2449" t="s">
        <v>1563</v>
      </c>
      <c r="E41" s="2450">
        <v>129900000</v>
      </c>
      <c r="F41" s="2450">
        <v>0</v>
      </c>
      <c r="G41" s="2450">
        <v>129900000</v>
      </c>
      <c r="H41" s="2450">
        <v>0</v>
      </c>
    </row>
    <row r="42" spans="1:8" ht="18.75" customHeight="1" x14ac:dyDescent="0.2">
      <c r="A42" s="2449" t="s">
        <v>1448</v>
      </c>
      <c r="B42" s="2449" t="s">
        <v>2001</v>
      </c>
      <c r="C42" s="2449" t="s">
        <v>1646</v>
      </c>
      <c r="D42" s="2449" t="s">
        <v>1646</v>
      </c>
      <c r="E42" s="2450">
        <v>17464000</v>
      </c>
      <c r="F42" s="2450">
        <v>0</v>
      </c>
      <c r="G42" s="2450">
        <v>17464000</v>
      </c>
      <c r="H42" s="2450">
        <v>0</v>
      </c>
    </row>
    <row r="43" spans="1:8" ht="18.75" customHeight="1" x14ac:dyDescent="0.2">
      <c r="A43" s="2449" t="s">
        <v>1448</v>
      </c>
      <c r="B43" s="2449" t="s">
        <v>2001</v>
      </c>
      <c r="C43" s="2449" t="s">
        <v>1543</v>
      </c>
      <c r="D43" s="2449" t="s">
        <v>1646</v>
      </c>
      <c r="E43" s="2450">
        <v>13842000</v>
      </c>
      <c r="F43" s="2450">
        <v>0</v>
      </c>
      <c r="G43" s="2450">
        <v>13842000</v>
      </c>
      <c r="H43" s="2450">
        <v>0</v>
      </c>
    </row>
    <row r="44" spans="1:8" ht="18.75" customHeight="1" x14ac:dyDescent="0.2">
      <c r="A44" s="2449" t="s">
        <v>1448</v>
      </c>
      <c r="B44" s="2449" t="s">
        <v>2001</v>
      </c>
      <c r="C44" s="2449" t="s">
        <v>1543</v>
      </c>
      <c r="D44" s="2449" t="s">
        <v>1885</v>
      </c>
      <c r="E44" s="2450">
        <v>13842000</v>
      </c>
      <c r="F44" s="2450">
        <v>0</v>
      </c>
      <c r="G44" s="2450">
        <v>13842000</v>
      </c>
      <c r="H44" s="2450">
        <v>0</v>
      </c>
    </row>
    <row r="45" spans="1:8" ht="18.75" customHeight="1" x14ac:dyDescent="0.2">
      <c r="A45" s="2449" t="s">
        <v>1448</v>
      </c>
      <c r="B45" s="2449" t="s">
        <v>2001</v>
      </c>
      <c r="C45" s="2449" t="s">
        <v>1544</v>
      </c>
      <c r="D45" s="2449" t="s">
        <v>1646</v>
      </c>
      <c r="E45" s="2450">
        <v>2000000</v>
      </c>
      <c r="F45" s="2450">
        <v>0</v>
      </c>
      <c r="G45" s="2450">
        <v>2000000</v>
      </c>
      <c r="H45" s="2450">
        <v>0</v>
      </c>
    </row>
    <row r="46" spans="1:8" ht="18.75" customHeight="1" x14ac:dyDescent="0.2">
      <c r="A46" s="2449" t="s">
        <v>1448</v>
      </c>
      <c r="B46" s="2449" t="s">
        <v>2001</v>
      </c>
      <c r="C46" s="2449" t="s">
        <v>1544</v>
      </c>
      <c r="D46" s="2449" t="s">
        <v>1545</v>
      </c>
      <c r="E46" s="2450">
        <v>2000000</v>
      </c>
      <c r="F46" s="2450">
        <v>0</v>
      </c>
      <c r="G46" s="2450">
        <v>2000000</v>
      </c>
      <c r="H46" s="2450">
        <v>0</v>
      </c>
    </row>
    <row r="47" spans="1:8" ht="18.75" customHeight="1" x14ac:dyDescent="0.2">
      <c r="A47" s="2449" t="s">
        <v>1448</v>
      </c>
      <c r="B47" s="2449" t="s">
        <v>2001</v>
      </c>
      <c r="C47" s="2449" t="s">
        <v>1541</v>
      </c>
      <c r="D47" s="2449" t="s">
        <v>1646</v>
      </c>
      <c r="E47" s="2450">
        <v>1122000</v>
      </c>
      <c r="F47" s="2450">
        <v>0</v>
      </c>
      <c r="G47" s="2450">
        <v>1122000</v>
      </c>
      <c r="H47" s="2450">
        <v>0</v>
      </c>
    </row>
    <row r="48" spans="1:8" ht="18.75" customHeight="1" x14ac:dyDescent="0.2">
      <c r="A48" s="2449" t="s">
        <v>1448</v>
      </c>
      <c r="B48" s="2449" t="s">
        <v>2001</v>
      </c>
      <c r="C48" s="2449" t="s">
        <v>1541</v>
      </c>
      <c r="D48" s="2449" t="s">
        <v>1572</v>
      </c>
      <c r="E48" s="2450">
        <v>1122000</v>
      </c>
      <c r="F48" s="2450">
        <v>0</v>
      </c>
      <c r="G48" s="2450">
        <v>1122000</v>
      </c>
      <c r="H48" s="2450">
        <v>0</v>
      </c>
    </row>
    <row r="49" spans="1:8" ht="18.75" customHeight="1" x14ac:dyDescent="0.2">
      <c r="A49" s="2449" t="s">
        <v>1448</v>
      </c>
      <c r="B49" s="2449" t="s">
        <v>2001</v>
      </c>
      <c r="C49" s="2449" t="s">
        <v>1573</v>
      </c>
      <c r="D49" s="2449" t="s">
        <v>1646</v>
      </c>
      <c r="E49" s="2450">
        <v>500000</v>
      </c>
      <c r="F49" s="2450">
        <v>0</v>
      </c>
      <c r="G49" s="2450">
        <v>500000</v>
      </c>
      <c r="H49" s="2450">
        <v>0</v>
      </c>
    </row>
    <row r="50" spans="1:8" ht="18.75" customHeight="1" x14ac:dyDescent="0.2">
      <c r="A50" s="2449" t="s">
        <v>1448</v>
      </c>
      <c r="B50" s="2449" t="s">
        <v>2001</v>
      </c>
      <c r="C50" s="2449" t="s">
        <v>1573</v>
      </c>
      <c r="D50" s="2449" t="s">
        <v>1576</v>
      </c>
      <c r="E50" s="2450">
        <v>500000</v>
      </c>
      <c r="F50" s="2450">
        <v>0</v>
      </c>
      <c r="G50" s="2450">
        <v>500000</v>
      </c>
      <c r="H50" s="2450">
        <v>0</v>
      </c>
    </row>
    <row r="51" spans="1:8" ht="18.75" customHeight="1" x14ac:dyDescent="0.2">
      <c r="A51" s="2448" t="s">
        <v>1449</v>
      </c>
      <c r="B51" s="2449" t="s">
        <v>1646</v>
      </c>
      <c r="C51" s="2449" t="s">
        <v>1646</v>
      </c>
      <c r="D51" s="2449" t="s">
        <v>1646</v>
      </c>
      <c r="E51" s="2447">
        <v>4945027341</v>
      </c>
      <c r="F51" s="2447">
        <v>42919253</v>
      </c>
      <c r="G51" s="2447">
        <v>4902108088</v>
      </c>
      <c r="H51" s="2447">
        <v>0</v>
      </c>
    </row>
    <row r="52" spans="1:8" ht="18.75" customHeight="1" x14ac:dyDescent="0.2">
      <c r="A52" s="2449" t="s">
        <v>1449</v>
      </c>
      <c r="B52" s="2449" t="s">
        <v>2002</v>
      </c>
      <c r="C52" s="2449" t="s">
        <v>1646</v>
      </c>
      <c r="D52" s="2449" t="s">
        <v>1646</v>
      </c>
      <c r="E52" s="2450">
        <v>30720000</v>
      </c>
      <c r="F52" s="2450">
        <v>0</v>
      </c>
      <c r="G52" s="2450">
        <v>30720000</v>
      </c>
      <c r="H52" s="2450">
        <v>0</v>
      </c>
    </row>
    <row r="53" spans="1:8" ht="18.75" customHeight="1" x14ac:dyDescent="0.2">
      <c r="A53" s="2449" t="s">
        <v>1449</v>
      </c>
      <c r="B53" s="2449" t="s">
        <v>2002</v>
      </c>
      <c r="C53" s="2449" t="s">
        <v>1541</v>
      </c>
      <c r="D53" s="2449" t="s">
        <v>1646</v>
      </c>
      <c r="E53" s="2450">
        <v>30720000</v>
      </c>
      <c r="F53" s="2450">
        <v>0</v>
      </c>
      <c r="G53" s="2450">
        <v>30720000</v>
      </c>
      <c r="H53" s="2450">
        <v>0</v>
      </c>
    </row>
    <row r="54" spans="1:8" ht="18.75" customHeight="1" x14ac:dyDescent="0.2">
      <c r="A54" s="2449" t="s">
        <v>1449</v>
      </c>
      <c r="B54" s="2449" t="s">
        <v>2002</v>
      </c>
      <c r="C54" s="2449" t="s">
        <v>1541</v>
      </c>
      <c r="D54" s="2449" t="s">
        <v>1563</v>
      </c>
      <c r="E54" s="2450">
        <v>30720000</v>
      </c>
      <c r="F54" s="2450">
        <v>0</v>
      </c>
      <c r="G54" s="2450">
        <v>30720000</v>
      </c>
      <c r="H54" s="2450">
        <v>0</v>
      </c>
    </row>
    <row r="55" spans="1:8" ht="18.75" customHeight="1" x14ac:dyDescent="0.2">
      <c r="A55" s="2449" t="s">
        <v>1449</v>
      </c>
      <c r="B55" s="2449" t="s">
        <v>2003</v>
      </c>
      <c r="C55" s="2449" t="s">
        <v>1646</v>
      </c>
      <c r="D55" s="2449" t="s">
        <v>1646</v>
      </c>
      <c r="E55" s="2450">
        <v>37314500</v>
      </c>
      <c r="F55" s="2450">
        <v>0</v>
      </c>
      <c r="G55" s="2450">
        <v>37314500</v>
      </c>
      <c r="H55" s="2450">
        <v>0</v>
      </c>
    </row>
    <row r="56" spans="1:8" ht="18.75" customHeight="1" x14ac:dyDescent="0.2">
      <c r="A56" s="2449" t="s">
        <v>1449</v>
      </c>
      <c r="B56" s="2449" t="s">
        <v>2003</v>
      </c>
      <c r="C56" s="2449" t="s">
        <v>1541</v>
      </c>
      <c r="D56" s="2449" t="s">
        <v>1646</v>
      </c>
      <c r="E56" s="2450">
        <v>37314500</v>
      </c>
      <c r="F56" s="2450">
        <v>0</v>
      </c>
      <c r="G56" s="2450">
        <v>37314500</v>
      </c>
      <c r="H56" s="2450">
        <v>0</v>
      </c>
    </row>
    <row r="57" spans="1:8" ht="18.75" customHeight="1" x14ac:dyDescent="0.2">
      <c r="A57" s="2449" t="s">
        <v>1449</v>
      </c>
      <c r="B57" s="2449" t="s">
        <v>2003</v>
      </c>
      <c r="C57" s="2449" t="s">
        <v>1541</v>
      </c>
      <c r="D57" s="2449" t="s">
        <v>1563</v>
      </c>
      <c r="E57" s="2450">
        <v>30720000</v>
      </c>
      <c r="F57" s="2450">
        <v>0</v>
      </c>
      <c r="G57" s="2450">
        <v>30720000</v>
      </c>
      <c r="H57" s="2450">
        <v>0</v>
      </c>
    </row>
    <row r="58" spans="1:8" ht="18.75" customHeight="1" x14ac:dyDescent="0.2">
      <c r="A58" s="2449" t="s">
        <v>1449</v>
      </c>
      <c r="B58" s="2449" t="s">
        <v>2003</v>
      </c>
      <c r="C58" s="2449" t="s">
        <v>1541</v>
      </c>
      <c r="D58" s="2449" t="s">
        <v>1881</v>
      </c>
      <c r="E58" s="2450">
        <v>6594500</v>
      </c>
      <c r="F58" s="2450">
        <v>0</v>
      </c>
      <c r="G58" s="2450">
        <v>6594500</v>
      </c>
      <c r="H58" s="2450">
        <v>0</v>
      </c>
    </row>
    <row r="59" spans="1:8" ht="18.75" customHeight="1" x14ac:dyDescent="0.2">
      <c r="A59" s="2449" t="s">
        <v>1449</v>
      </c>
      <c r="B59" s="2449" t="s">
        <v>2004</v>
      </c>
      <c r="C59" s="2449" t="s">
        <v>1646</v>
      </c>
      <c r="D59" s="2449" t="s">
        <v>1646</v>
      </c>
      <c r="E59" s="2450">
        <v>30720000</v>
      </c>
      <c r="F59" s="2450">
        <v>0</v>
      </c>
      <c r="G59" s="2450">
        <v>30720000</v>
      </c>
      <c r="H59" s="2450">
        <v>0</v>
      </c>
    </row>
    <row r="60" spans="1:8" ht="18.75" customHeight="1" x14ac:dyDescent="0.2">
      <c r="A60" s="2449" t="s">
        <v>1449</v>
      </c>
      <c r="B60" s="2449" t="s">
        <v>2004</v>
      </c>
      <c r="C60" s="2449" t="s">
        <v>1541</v>
      </c>
      <c r="D60" s="2449" t="s">
        <v>1646</v>
      </c>
      <c r="E60" s="2450">
        <v>30720000</v>
      </c>
      <c r="F60" s="2450">
        <v>0</v>
      </c>
      <c r="G60" s="2450">
        <v>30720000</v>
      </c>
      <c r="H60" s="2450">
        <v>0</v>
      </c>
    </row>
    <row r="61" spans="1:8" ht="18.75" customHeight="1" x14ac:dyDescent="0.2">
      <c r="A61" s="2449" t="s">
        <v>1449</v>
      </c>
      <c r="B61" s="2449" t="s">
        <v>2004</v>
      </c>
      <c r="C61" s="2449" t="s">
        <v>1541</v>
      </c>
      <c r="D61" s="2449" t="s">
        <v>1563</v>
      </c>
      <c r="E61" s="2450">
        <v>30720000</v>
      </c>
      <c r="F61" s="2450">
        <v>0</v>
      </c>
      <c r="G61" s="2450">
        <v>30720000</v>
      </c>
      <c r="H61" s="2450">
        <v>0</v>
      </c>
    </row>
    <row r="62" spans="1:8" ht="18.75" customHeight="1" x14ac:dyDescent="0.2">
      <c r="A62" s="2449" t="s">
        <v>1449</v>
      </c>
      <c r="B62" s="2449" t="s">
        <v>2005</v>
      </c>
      <c r="C62" s="2449" t="s">
        <v>1646</v>
      </c>
      <c r="D62" s="2449" t="s">
        <v>1646</v>
      </c>
      <c r="E62" s="2450">
        <v>20500000</v>
      </c>
      <c r="F62" s="2450">
        <v>0</v>
      </c>
      <c r="G62" s="2450">
        <v>20500000</v>
      </c>
      <c r="H62" s="2450">
        <v>0</v>
      </c>
    </row>
    <row r="63" spans="1:8" ht="18.75" customHeight="1" x14ac:dyDescent="0.2">
      <c r="A63" s="2449" t="s">
        <v>1449</v>
      </c>
      <c r="B63" s="2449" t="s">
        <v>2005</v>
      </c>
      <c r="C63" s="2449" t="s">
        <v>1862</v>
      </c>
      <c r="D63" s="2449" t="s">
        <v>1646</v>
      </c>
      <c r="E63" s="2450">
        <v>20500000</v>
      </c>
      <c r="F63" s="2450">
        <v>0</v>
      </c>
      <c r="G63" s="2450">
        <v>20500000</v>
      </c>
      <c r="H63" s="2450">
        <v>0</v>
      </c>
    </row>
    <row r="64" spans="1:8" ht="18.75" customHeight="1" x14ac:dyDescent="0.2">
      <c r="A64" s="2449" t="s">
        <v>1449</v>
      </c>
      <c r="B64" s="2449" t="s">
        <v>2005</v>
      </c>
      <c r="C64" s="2449" t="s">
        <v>1862</v>
      </c>
      <c r="D64" s="2449" t="s">
        <v>2006</v>
      </c>
      <c r="E64" s="2450">
        <v>20500000</v>
      </c>
      <c r="F64" s="2450">
        <v>0</v>
      </c>
      <c r="G64" s="2450">
        <v>20500000</v>
      </c>
      <c r="H64" s="2450">
        <v>0</v>
      </c>
    </row>
    <row r="65" spans="1:8" ht="18.75" customHeight="1" x14ac:dyDescent="0.2">
      <c r="A65" s="2449" t="s">
        <v>1449</v>
      </c>
      <c r="B65" s="2449" t="s">
        <v>2007</v>
      </c>
      <c r="C65" s="2449" t="s">
        <v>1646</v>
      </c>
      <c r="D65" s="2449" t="s">
        <v>1646</v>
      </c>
      <c r="E65" s="2450">
        <v>36810000</v>
      </c>
      <c r="F65" s="2450">
        <v>0</v>
      </c>
      <c r="G65" s="2450">
        <v>36810000</v>
      </c>
      <c r="H65" s="2450">
        <v>0</v>
      </c>
    </row>
    <row r="66" spans="1:8" ht="18.75" customHeight="1" x14ac:dyDescent="0.2">
      <c r="A66" s="2449" t="s">
        <v>1449</v>
      </c>
      <c r="B66" s="2449" t="s">
        <v>2007</v>
      </c>
      <c r="C66" s="2449" t="s">
        <v>1541</v>
      </c>
      <c r="D66" s="2449" t="s">
        <v>1646</v>
      </c>
      <c r="E66" s="2450">
        <v>36810000</v>
      </c>
      <c r="F66" s="2450">
        <v>0</v>
      </c>
      <c r="G66" s="2450">
        <v>36810000</v>
      </c>
      <c r="H66" s="2450">
        <v>0</v>
      </c>
    </row>
    <row r="67" spans="1:8" ht="18.75" customHeight="1" x14ac:dyDescent="0.2">
      <c r="A67" s="2449" t="s">
        <v>1449</v>
      </c>
      <c r="B67" s="2449" t="s">
        <v>2007</v>
      </c>
      <c r="C67" s="2449" t="s">
        <v>1541</v>
      </c>
      <c r="D67" s="2449" t="s">
        <v>1563</v>
      </c>
      <c r="E67" s="2450">
        <v>36810000</v>
      </c>
      <c r="F67" s="2450">
        <v>0</v>
      </c>
      <c r="G67" s="2450">
        <v>36810000</v>
      </c>
      <c r="H67" s="2450">
        <v>0</v>
      </c>
    </row>
    <row r="68" spans="1:8" ht="18.75" customHeight="1" x14ac:dyDescent="0.2">
      <c r="A68" s="2449" t="s">
        <v>1449</v>
      </c>
      <c r="B68" s="2449" t="s">
        <v>2008</v>
      </c>
      <c r="C68" s="2449" t="s">
        <v>1646</v>
      </c>
      <c r="D68" s="2449" t="s">
        <v>1646</v>
      </c>
      <c r="E68" s="2450">
        <v>1091200</v>
      </c>
      <c r="F68" s="2450">
        <v>0</v>
      </c>
      <c r="G68" s="2450">
        <v>1091200</v>
      </c>
      <c r="H68" s="2450">
        <v>0</v>
      </c>
    </row>
    <row r="69" spans="1:8" ht="18.75" customHeight="1" x14ac:dyDescent="0.2">
      <c r="A69" s="2449" t="s">
        <v>1449</v>
      </c>
      <c r="B69" s="2449" t="s">
        <v>2008</v>
      </c>
      <c r="C69" s="2449" t="s">
        <v>1573</v>
      </c>
      <c r="D69" s="2449" t="s">
        <v>1646</v>
      </c>
      <c r="E69" s="2450">
        <v>1000000</v>
      </c>
      <c r="F69" s="2450">
        <v>0</v>
      </c>
      <c r="G69" s="2450">
        <v>1000000</v>
      </c>
      <c r="H69" s="2450">
        <v>0</v>
      </c>
    </row>
    <row r="70" spans="1:8" ht="18.75" customHeight="1" x14ac:dyDescent="0.2">
      <c r="A70" s="2449" t="s">
        <v>1449</v>
      </c>
      <c r="B70" s="2449" t="s">
        <v>2008</v>
      </c>
      <c r="C70" s="2449" t="s">
        <v>1573</v>
      </c>
      <c r="D70" s="2449" t="s">
        <v>1576</v>
      </c>
      <c r="E70" s="2450">
        <v>1000000</v>
      </c>
      <c r="F70" s="2450">
        <v>0</v>
      </c>
      <c r="G70" s="2450">
        <v>1000000</v>
      </c>
      <c r="H70" s="2450">
        <v>0</v>
      </c>
    </row>
    <row r="71" spans="1:8" ht="18.75" customHeight="1" x14ac:dyDescent="0.2">
      <c r="A71" s="2449" t="s">
        <v>1449</v>
      </c>
      <c r="B71" s="2449" t="s">
        <v>2008</v>
      </c>
      <c r="C71" s="2449" t="s">
        <v>1542</v>
      </c>
      <c r="D71" s="2449" t="s">
        <v>1646</v>
      </c>
      <c r="E71" s="2450">
        <v>91200</v>
      </c>
      <c r="F71" s="2450">
        <v>0</v>
      </c>
      <c r="G71" s="2450">
        <v>91200</v>
      </c>
      <c r="H71" s="2450">
        <v>0</v>
      </c>
    </row>
    <row r="72" spans="1:8" ht="18.75" customHeight="1" x14ac:dyDescent="0.2">
      <c r="A72" s="2449" t="s">
        <v>1449</v>
      </c>
      <c r="B72" s="2449" t="s">
        <v>2008</v>
      </c>
      <c r="C72" s="2449" t="s">
        <v>1542</v>
      </c>
      <c r="D72" s="2449" t="s">
        <v>1554</v>
      </c>
      <c r="E72" s="2450">
        <v>91200</v>
      </c>
      <c r="F72" s="2450">
        <v>0</v>
      </c>
      <c r="G72" s="2450">
        <v>91200</v>
      </c>
      <c r="H72" s="2450">
        <v>0</v>
      </c>
    </row>
    <row r="73" spans="1:8" ht="18.75" customHeight="1" x14ac:dyDescent="0.2">
      <c r="A73" s="2449" t="s">
        <v>1449</v>
      </c>
      <c r="B73" s="2449" t="s">
        <v>2009</v>
      </c>
      <c r="C73" s="2449" t="s">
        <v>1646</v>
      </c>
      <c r="D73" s="2449" t="s">
        <v>1646</v>
      </c>
      <c r="E73" s="2450">
        <v>57778197</v>
      </c>
      <c r="F73" s="2450">
        <v>0</v>
      </c>
      <c r="G73" s="2450">
        <v>57778197</v>
      </c>
      <c r="H73" s="2450">
        <v>0</v>
      </c>
    </row>
    <row r="74" spans="1:8" ht="18.75" customHeight="1" x14ac:dyDescent="0.2">
      <c r="A74" s="2449" t="s">
        <v>1449</v>
      </c>
      <c r="B74" s="2449" t="s">
        <v>2009</v>
      </c>
      <c r="C74" s="2449" t="s">
        <v>1547</v>
      </c>
      <c r="D74" s="2449" t="s">
        <v>1646</v>
      </c>
      <c r="E74" s="2450">
        <v>4663747</v>
      </c>
      <c r="F74" s="2450">
        <v>0</v>
      </c>
      <c r="G74" s="2450">
        <v>4663747</v>
      </c>
      <c r="H74" s="2450">
        <v>0</v>
      </c>
    </row>
    <row r="75" spans="1:8" ht="18.75" customHeight="1" x14ac:dyDescent="0.2">
      <c r="A75" s="2449" t="s">
        <v>1449</v>
      </c>
      <c r="B75" s="2449" t="s">
        <v>2009</v>
      </c>
      <c r="C75" s="2449" t="s">
        <v>1547</v>
      </c>
      <c r="D75" s="2449" t="s">
        <v>1548</v>
      </c>
      <c r="E75" s="2450">
        <v>4663747</v>
      </c>
      <c r="F75" s="2450">
        <v>0</v>
      </c>
      <c r="G75" s="2450">
        <v>4663747</v>
      </c>
      <c r="H75" s="2450">
        <v>0</v>
      </c>
    </row>
    <row r="76" spans="1:8" ht="18.75" customHeight="1" x14ac:dyDescent="0.2">
      <c r="A76" s="2449" t="s">
        <v>1449</v>
      </c>
      <c r="B76" s="2449" t="s">
        <v>2009</v>
      </c>
      <c r="C76" s="2449" t="s">
        <v>1544</v>
      </c>
      <c r="D76" s="2449" t="s">
        <v>1646</v>
      </c>
      <c r="E76" s="2450">
        <v>3164450</v>
      </c>
      <c r="F76" s="2450">
        <v>0</v>
      </c>
      <c r="G76" s="2450">
        <v>3164450</v>
      </c>
      <c r="H76" s="2450">
        <v>0</v>
      </c>
    </row>
    <row r="77" spans="1:8" ht="18.75" customHeight="1" x14ac:dyDescent="0.2">
      <c r="A77" s="2449" t="s">
        <v>1449</v>
      </c>
      <c r="B77" s="2449" t="s">
        <v>2009</v>
      </c>
      <c r="C77" s="2449" t="s">
        <v>1544</v>
      </c>
      <c r="D77" s="2449" t="s">
        <v>1545</v>
      </c>
      <c r="E77" s="2450">
        <v>3164450</v>
      </c>
      <c r="F77" s="2450">
        <v>0</v>
      </c>
      <c r="G77" s="2450">
        <v>3164450</v>
      </c>
      <c r="H77" s="2450">
        <v>0</v>
      </c>
    </row>
    <row r="78" spans="1:8" ht="18.75" customHeight="1" x14ac:dyDescent="0.2">
      <c r="A78" s="2449" t="s">
        <v>1449</v>
      </c>
      <c r="B78" s="2449" t="s">
        <v>2009</v>
      </c>
      <c r="C78" s="2449" t="s">
        <v>1541</v>
      </c>
      <c r="D78" s="2449" t="s">
        <v>1646</v>
      </c>
      <c r="E78" s="2450">
        <v>49950000</v>
      </c>
      <c r="F78" s="2450">
        <v>0</v>
      </c>
      <c r="G78" s="2450">
        <v>49950000</v>
      </c>
      <c r="H78" s="2450">
        <v>0</v>
      </c>
    </row>
    <row r="79" spans="1:8" ht="18.75" customHeight="1" x14ac:dyDescent="0.2">
      <c r="A79" s="2449" t="s">
        <v>1449</v>
      </c>
      <c r="B79" s="2449" t="s">
        <v>2009</v>
      </c>
      <c r="C79" s="2449" t="s">
        <v>1541</v>
      </c>
      <c r="D79" s="2449" t="s">
        <v>1563</v>
      </c>
      <c r="E79" s="2450">
        <v>49950000</v>
      </c>
      <c r="F79" s="2450">
        <v>0</v>
      </c>
      <c r="G79" s="2450">
        <v>49950000</v>
      </c>
      <c r="H79" s="2450">
        <v>0</v>
      </c>
    </row>
    <row r="80" spans="1:8" ht="18.75" customHeight="1" x14ac:dyDescent="0.2">
      <c r="A80" s="2449" t="s">
        <v>1449</v>
      </c>
      <c r="B80" s="2449" t="s">
        <v>2010</v>
      </c>
      <c r="C80" s="2449" t="s">
        <v>1646</v>
      </c>
      <c r="D80" s="2449" t="s">
        <v>1646</v>
      </c>
      <c r="E80" s="2450">
        <v>41790000</v>
      </c>
      <c r="F80" s="2450">
        <v>0</v>
      </c>
      <c r="G80" s="2450">
        <v>41790000</v>
      </c>
      <c r="H80" s="2450">
        <v>0</v>
      </c>
    </row>
    <row r="81" spans="1:8" ht="18.75" customHeight="1" x14ac:dyDescent="0.2">
      <c r="A81" s="2449" t="s">
        <v>1449</v>
      </c>
      <c r="B81" s="2449" t="s">
        <v>2010</v>
      </c>
      <c r="C81" s="2449" t="s">
        <v>1541</v>
      </c>
      <c r="D81" s="2449" t="s">
        <v>1646</v>
      </c>
      <c r="E81" s="2450">
        <v>41790000</v>
      </c>
      <c r="F81" s="2450">
        <v>0</v>
      </c>
      <c r="G81" s="2450">
        <v>41790000</v>
      </c>
      <c r="H81" s="2450">
        <v>0</v>
      </c>
    </row>
    <row r="82" spans="1:8" ht="18.75" customHeight="1" x14ac:dyDescent="0.2">
      <c r="A82" s="2449" t="s">
        <v>1449</v>
      </c>
      <c r="B82" s="2449" t="s">
        <v>2010</v>
      </c>
      <c r="C82" s="2449" t="s">
        <v>1541</v>
      </c>
      <c r="D82" s="2449" t="s">
        <v>1563</v>
      </c>
      <c r="E82" s="2450">
        <v>41790000</v>
      </c>
      <c r="F82" s="2450">
        <v>0</v>
      </c>
      <c r="G82" s="2450">
        <v>41790000</v>
      </c>
      <c r="H82" s="2450">
        <v>0</v>
      </c>
    </row>
    <row r="83" spans="1:8" ht="18.75" customHeight="1" x14ac:dyDescent="0.2">
      <c r="A83" s="2449" t="s">
        <v>1449</v>
      </c>
      <c r="B83" s="2449" t="s">
        <v>2011</v>
      </c>
      <c r="C83" s="2449" t="s">
        <v>1646</v>
      </c>
      <c r="D83" s="2449" t="s">
        <v>1646</v>
      </c>
      <c r="E83" s="2450">
        <v>55394</v>
      </c>
      <c r="F83" s="2450">
        <v>0</v>
      </c>
      <c r="G83" s="2450">
        <v>55394</v>
      </c>
      <c r="H83" s="2450">
        <v>0</v>
      </c>
    </row>
    <row r="84" spans="1:8" ht="18.75" customHeight="1" x14ac:dyDescent="0.2">
      <c r="A84" s="2449" t="s">
        <v>1449</v>
      </c>
      <c r="B84" s="2449" t="s">
        <v>2011</v>
      </c>
      <c r="C84" s="2449" t="s">
        <v>1542</v>
      </c>
      <c r="D84" s="2449" t="s">
        <v>1646</v>
      </c>
      <c r="E84" s="2450">
        <v>55394</v>
      </c>
      <c r="F84" s="2450">
        <v>0</v>
      </c>
      <c r="G84" s="2450">
        <v>55394</v>
      </c>
      <c r="H84" s="2450">
        <v>0</v>
      </c>
    </row>
    <row r="85" spans="1:8" ht="18.75" customHeight="1" x14ac:dyDescent="0.2">
      <c r="A85" s="2449" t="s">
        <v>1449</v>
      </c>
      <c r="B85" s="2449" t="s">
        <v>2011</v>
      </c>
      <c r="C85" s="2449" t="s">
        <v>1542</v>
      </c>
      <c r="D85" s="2449" t="s">
        <v>1554</v>
      </c>
      <c r="E85" s="2450">
        <v>55394</v>
      </c>
      <c r="F85" s="2450">
        <v>0</v>
      </c>
      <c r="G85" s="2450">
        <v>55394</v>
      </c>
      <c r="H85" s="2450">
        <v>0</v>
      </c>
    </row>
    <row r="86" spans="1:8" ht="18.75" customHeight="1" x14ac:dyDescent="0.2">
      <c r="A86" s="2449" t="s">
        <v>1449</v>
      </c>
      <c r="B86" s="2449" t="s">
        <v>2012</v>
      </c>
      <c r="C86" s="2449" t="s">
        <v>1646</v>
      </c>
      <c r="D86" s="2449" t="s">
        <v>1646</v>
      </c>
      <c r="E86" s="2450">
        <v>104001739</v>
      </c>
      <c r="F86" s="2450">
        <v>0</v>
      </c>
      <c r="G86" s="2450">
        <v>104001739</v>
      </c>
      <c r="H86" s="2450">
        <v>0</v>
      </c>
    </row>
    <row r="87" spans="1:8" ht="18.75" customHeight="1" x14ac:dyDescent="0.2">
      <c r="A87" s="2449" t="s">
        <v>1449</v>
      </c>
      <c r="B87" s="2449" t="s">
        <v>2012</v>
      </c>
      <c r="C87" s="2449" t="s">
        <v>1547</v>
      </c>
      <c r="D87" s="2449" t="s">
        <v>1646</v>
      </c>
      <c r="E87" s="2450">
        <v>51498900</v>
      </c>
      <c r="F87" s="2450">
        <v>0</v>
      </c>
      <c r="G87" s="2450">
        <v>51498900</v>
      </c>
      <c r="H87" s="2450">
        <v>0</v>
      </c>
    </row>
    <row r="88" spans="1:8" ht="18.75" customHeight="1" x14ac:dyDescent="0.2">
      <c r="A88" s="2449" t="s">
        <v>1449</v>
      </c>
      <c r="B88" s="2449" t="s">
        <v>2012</v>
      </c>
      <c r="C88" s="2449" t="s">
        <v>1547</v>
      </c>
      <c r="D88" s="2449" t="s">
        <v>1548</v>
      </c>
      <c r="E88" s="2450">
        <v>51498900</v>
      </c>
      <c r="F88" s="2450">
        <v>0</v>
      </c>
      <c r="G88" s="2450">
        <v>51498900</v>
      </c>
      <c r="H88" s="2450">
        <v>0</v>
      </c>
    </row>
    <row r="89" spans="1:8" ht="18.75" customHeight="1" x14ac:dyDescent="0.2">
      <c r="A89" s="2449" t="s">
        <v>1449</v>
      </c>
      <c r="B89" s="2449" t="s">
        <v>2012</v>
      </c>
      <c r="C89" s="2449" t="s">
        <v>1544</v>
      </c>
      <c r="D89" s="2449" t="s">
        <v>1646</v>
      </c>
      <c r="E89" s="2450">
        <v>51498900</v>
      </c>
      <c r="F89" s="2450">
        <v>0</v>
      </c>
      <c r="G89" s="2450">
        <v>51498900</v>
      </c>
      <c r="H89" s="2450">
        <v>0</v>
      </c>
    </row>
    <row r="90" spans="1:8" ht="18.75" customHeight="1" x14ac:dyDescent="0.2">
      <c r="A90" s="2449" t="s">
        <v>1449</v>
      </c>
      <c r="B90" s="2449" t="s">
        <v>2012</v>
      </c>
      <c r="C90" s="2449" t="s">
        <v>1544</v>
      </c>
      <c r="D90" s="2449" t="s">
        <v>1545</v>
      </c>
      <c r="E90" s="2450">
        <v>51498900</v>
      </c>
      <c r="F90" s="2450">
        <v>0</v>
      </c>
      <c r="G90" s="2450">
        <v>51498900</v>
      </c>
      <c r="H90" s="2450">
        <v>0</v>
      </c>
    </row>
    <row r="91" spans="1:8" ht="18.75" customHeight="1" x14ac:dyDescent="0.2">
      <c r="A91" s="2449" t="s">
        <v>1449</v>
      </c>
      <c r="B91" s="2449" t="s">
        <v>2012</v>
      </c>
      <c r="C91" s="2449" t="s">
        <v>1573</v>
      </c>
      <c r="D91" s="2449" t="s">
        <v>1646</v>
      </c>
      <c r="E91" s="2450">
        <v>1000000</v>
      </c>
      <c r="F91" s="2450">
        <v>0</v>
      </c>
      <c r="G91" s="2450">
        <v>1000000</v>
      </c>
      <c r="H91" s="2450">
        <v>0</v>
      </c>
    </row>
    <row r="92" spans="1:8" ht="18.75" customHeight="1" x14ac:dyDescent="0.2">
      <c r="A92" s="2449" t="s">
        <v>1449</v>
      </c>
      <c r="B92" s="2449" t="s">
        <v>2012</v>
      </c>
      <c r="C92" s="2449" t="s">
        <v>1573</v>
      </c>
      <c r="D92" s="2449" t="s">
        <v>1576</v>
      </c>
      <c r="E92" s="2450">
        <v>1000000</v>
      </c>
      <c r="F92" s="2450">
        <v>0</v>
      </c>
      <c r="G92" s="2450">
        <v>1000000</v>
      </c>
      <c r="H92" s="2450">
        <v>0</v>
      </c>
    </row>
    <row r="93" spans="1:8" ht="18.75" customHeight="1" x14ac:dyDescent="0.2">
      <c r="A93" s="2449" t="s">
        <v>1449</v>
      </c>
      <c r="B93" s="2449" t="s">
        <v>2012</v>
      </c>
      <c r="C93" s="2449" t="s">
        <v>1542</v>
      </c>
      <c r="D93" s="2449" t="s">
        <v>1646</v>
      </c>
      <c r="E93" s="2450">
        <v>3939</v>
      </c>
      <c r="F93" s="2450">
        <v>0</v>
      </c>
      <c r="G93" s="2450">
        <v>3939</v>
      </c>
      <c r="H93" s="2450">
        <v>0</v>
      </c>
    </row>
    <row r="94" spans="1:8" ht="18.75" customHeight="1" x14ac:dyDescent="0.2">
      <c r="A94" s="2449" t="s">
        <v>1449</v>
      </c>
      <c r="B94" s="2449" t="s">
        <v>2012</v>
      </c>
      <c r="C94" s="2449" t="s">
        <v>1542</v>
      </c>
      <c r="D94" s="2449" t="s">
        <v>1552</v>
      </c>
      <c r="E94" s="2450">
        <v>3939</v>
      </c>
      <c r="F94" s="2450">
        <v>0</v>
      </c>
      <c r="G94" s="2450">
        <v>3939</v>
      </c>
      <c r="H94" s="2450">
        <v>0</v>
      </c>
    </row>
    <row r="95" spans="1:8" ht="18.75" customHeight="1" x14ac:dyDescent="0.2">
      <c r="A95" s="2449" t="s">
        <v>1449</v>
      </c>
      <c r="B95" s="2449" t="s">
        <v>2013</v>
      </c>
      <c r="C95" s="2449" t="s">
        <v>1646</v>
      </c>
      <c r="D95" s="2449" t="s">
        <v>1646</v>
      </c>
      <c r="E95" s="2450">
        <v>9065388</v>
      </c>
      <c r="F95" s="2450">
        <v>0</v>
      </c>
      <c r="G95" s="2450">
        <v>9065388</v>
      </c>
      <c r="H95" s="2450">
        <v>0</v>
      </c>
    </row>
    <row r="96" spans="1:8" ht="18.75" customHeight="1" x14ac:dyDescent="0.2">
      <c r="A96" s="2449" t="s">
        <v>1449</v>
      </c>
      <c r="B96" s="2449" t="s">
        <v>2013</v>
      </c>
      <c r="C96" s="2449" t="s">
        <v>1543</v>
      </c>
      <c r="D96" s="2449" t="s">
        <v>1646</v>
      </c>
      <c r="E96" s="2450">
        <v>6557388</v>
      </c>
      <c r="F96" s="2450">
        <v>0</v>
      </c>
      <c r="G96" s="2450">
        <v>6557388</v>
      </c>
      <c r="H96" s="2450">
        <v>0</v>
      </c>
    </row>
    <row r="97" spans="1:8" ht="18.75" customHeight="1" x14ac:dyDescent="0.2">
      <c r="A97" s="2449" t="s">
        <v>1449</v>
      </c>
      <c r="B97" s="2449" t="s">
        <v>2013</v>
      </c>
      <c r="C97" s="2449" t="s">
        <v>1543</v>
      </c>
      <c r="D97" s="2449" t="s">
        <v>1884</v>
      </c>
      <c r="E97" s="2450">
        <v>3957000</v>
      </c>
      <c r="F97" s="2450">
        <v>0</v>
      </c>
      <c r="G97" s="2450">
        <v>3957000</v>
      </c>
      <c r="H97" s="2450">
        <v>0</v>
      </c>
    </row>
    <row r="98" spans="1:8" ht="18.75" customHeight="1" x14ac:dyDescent="0.2">
      <c r="A98" s="2449" t="s">
        <v>1449</v>
      </c>
      <c r="B98" s="2449" t="s">
        <v>2013</v>
      </c>
      <c r="C98" s="2449" t="s">
        <v>1543</v>
      </c>
      <c r="D98" s="2449" t="s">
        <v>1885</v>
      </c>
      <c r="E98" s="2450">
        <v>2600388</v>
      </c>
      <c r="F98" s="2450">
        <v>0</v>
      </c>
      <c r="G98" s="2450">
        <v>2600388</v>
      </c>
      <c r="H98" s="2450">
        <v>0</v>
      </c>
    </row>
    <row r="99" spans="1:8" ht="18.75" customHeight="1" x14ac:dyDescent="0.2">
      <c r="A99" s="2449" t="s">
        <v>1449</v>
      </c>
      <c r="B99" s="2449" t="s">
        <v>2013</v>
      </c>
      <c r="C99" s="2449" t="s">
        <v>1544</v>
      </c>
      <c r="D99" s="2449" t="s">
        <v>1646</v>
      </c>
      <c r="E99" s="2450">
        <v>2508000</v>
      </c>
      <c r="F99" s="2450">
        <v>0</v>
      </c>
      <c r="G99" s="2450">
        <v>2508000</v>
      </c>
      <c r="H99" s="2450">
        <v>0</v>
      </c>
    </row>
    <row r="100" spans="1:8" ht="18.75" customHeight="1" x14ac:dyDescent="0.2">
      <c r="A100" s="2449" t="s">
        <v>1449</v>
      </c>
      <c r="B100" s="2449" t="s">
        <v>2013</v>
      </c>
      <c r="C100" s="2449" t="s">
        <v>1544</v>
      </c>
      <c r="D100" s="2449" t="s">
        <v>1545</v>
      </c>
      <c r="E100" s="2450">
        <v>2508000</v>
      </c>
      <c r="F100" s="2450">
        <v>0</v>
      </c>
      <c r="G100" s="2450">
        <v>2508000</v>
      </c>
      <c r="H100" s="2450">
        <v>0</v>
      </c>
    </row>
    <row r="101" spans="1:8" ht="18.75" customHeight="1" x14ac:dyDescent="0.2">
      <c r="A101" s="2449" t="s">
        <v>1449</v>
      </c>
      <c r="B101" s="2449" t="s">
        <v>2014</v>
      </c>
      <c r="C101" s="2449" t="s">
        <v>1646</v>
      </c>
      <c r="D101" s="2449" t="s">
        <v>1646</v>
      </c>
      <c r="E101" s="2450">
        <v>4344406051</v>
      </c>
      <c r="F101" s="2450">
        <v>42919253</v>
      </c>
      <c r="G101" s="2450">
        <v>4301486798</v>
      </c>
      <c r="H101" s="2450">
        <v>0</v>
      </c>
    </row>
    <row r="102" spans="1:8" ht="18.75" customHeight="1" x14ac:dyDescent="0.2">
      <c r="A102" s="2449" t="s">
        <v>1449</v>
      </c>
      <c r="B102" s="2449" t="s">
        <v>2014</v>
      </c>
      <c r="C102" s="2449" t="s">
        <v>1558</v>
      </c>
      <c r="D102" s="2449" t="s">
        <v>1646</v>
      </c>
      <c r="E102" s="2450">
        <v>1497838153</v>
      </c>
      <c r="F102" s="2450">
        <v>0</v>
      </c>
      <c r="G102" s="2450">
        <v>1497838153</v>
      </c>
      <c r="H102" s="2450">
        <v>0</v>
      </c>
    </row>
    <row r="103" spans="1:8" ht="18.75" customHeight="1" x14ac:dyDescent="0.2">
      <c r="A103" s="2449" t="s">
        <v>1449</v>
      </c>
      <c r="B103" s="2449" t="s">
        <v>2014</v>
      </c>
      <c r="C103" s="2449" t="s">
        <v>1558</v>
      </c>
      <c r="D103" s="2449" t="s">
        <v>2015</v>
      </c>
      <c r="E103" s="2450">
        <v>233292257</v>
      </c>
      <c r="F103" s="2450">
        <v>0</v>
      </c>
      <c r="G103" s="2450">
        <v>233292257</v>
      </c>
      <c r="H103" s="2450">
        <v>0</v>
      </c>
    </row>
    <row r="104" spans="1:8" ht="18.75" customHeight="1" x14ac:dyDescent="0.2">
      <c r="A104" s="2449" t="s">
        <v>1449</v>
      </c>
      <c r="B104" s="2449" t="s">
        <v>2014</v>
      </c>
      <c r="C104" s="2449" t="s">
        <v>1558</v>
      </c>
      <c r="D104" s="2449" t="s">
        <v>1559</v>
      </c>
      <c r="E104" s="2450">
        <v>1264545896</v>
      </c>
      <c r="F104" s="2450">
        <v>0</v>
      </c>
      <c r="G104" s="2450">
        <v>1264545896</v>
      </c>
      <c r="H104" s="2450">
        <v>0</v>
      </c>
    </row>
    <row r="105" spans="1:8" ht="18.75" customHeight="1" x14ac:dyDescent="0.2">
      <c r="A105" s="2449" t="s">
        <v>1449</v>
      </c>
      <c r="B105" s="2449" t="s">
        <v>2014</v>
      </c>
      <c r="C105" s="2449" t="s">
        <v>1543</v>
      </c>
      <c r="D105" s="2449" t="s">
        <v>1646</v>
      </c>
      <c r="E105" s="2450">
        <v>23915483</v>
      </c>
      <c r="F105" s="2450">
        <v>0</v>
      </c>
      <c r="G105" s="2450">
        <v>23915483</v>
      </c>
      <c r="H105" s="2450">
        <v>0</v>
      </c>
    </row>
    <row r="106" spans="1:8" ht="18.75" customHeight="1" x14ac:dyDescent="0.2">
      <c r="A106" s="2449" t="s">
        <v>1449</v>
      </c>
      <c r="B106" s="2449" t="s">
        <v>2014</v>
      </c>
      <c r="C106" s="2449" t="s">
        <v>1543</v>
      </c>
      <c r="D106" s="2449" t="s">
        <v>1885</v>
      </c>
      <c r="E106" s="2450">
        <v>23915483</v>
      </c>
      <c r="F106" s="2450">
        <v>0</v>
      </c>
      <c r="G106" s="2450">
        <v>23915483</v>
      </c>
      <c r="H106" s="2450">
        <v>0</v>
      </c>
    </row>
    <row r="107" spans="1:8" ht="18.75" customHeight="1" x14ac:dyDescent="0.2">
      <c r="A107" s="2449" t="s">
        <v>1449</v>
      </c>
      <c r="B107" s="2449" t="s">
        <v>2014</v>
      </c>
      <c r="C107" s="2449" t="s">
        <v>1544</v>
      </c>
      <c r="D107" s="2449" t="s">
        <v>1646</v>
      </c>
      <c r="E107" s="2450">
        <v>486015230</v>
      </c>
      <c r="F107" s="2450">
        <v>0</v>
      </c>
      <c r="G107" s="2450">
        <v>486015230</v>
      </c>
      <c r="H107" s="2450">
        <v>0</v>
      </c>
    </row>
    <row r="108" spans="1:8" ht="18.75" customHeight="1" x14ac:dyDescent="0.2">
      <c r="A108" s="2449" t="s">
        <v>1449</v>
      </c>
      <c r="B108" s="2449" t="s">
        <v>2014</v>
      </c>
      <c r="C108" s="2449" t="s">
        <v>1544</v>
      </c>
      <c r="D108" s="2449" t="s">
        <v>1545</v>
      </c>
      <c r="E108" s="2450">
        <v>486015230</v>
      </c>
      <c r="F108" s="2450">
        <v>0</v>
      </c>
      <c r="G108" s="2450">
        <v>486015230</v>
      </c>
      <c r="H108" s="2450">
        <v>0</v>
      </c>
    </row>
    <row r="109" spans="1:8" ht="18.75" customHeight="1" x14ac:dyDescent="0.2">
      <c r="A109" s="2449" t="s">
        <v>1449</v>
      </c>
      <c r="B109" s="2449" t="s">
        <v>2014</v>
      </c>
      <c r="C109" s="2449" t="s">
        <v>1560</v>
      </c>
      <c r="D109" s="2449" t="s">
        <v>1646</v>
      </c>
      <c r="E109" s="2450">
        <v>785187494</v>
      </c>
      <c r="F109" s="2450">
        <v>0</v>
      </c>
      <c r="G109" s="2450">
        <v>785187494</v>
      </c>
      <c r="H109" s="2450">
        <v>0</v>
      </c>
    </row>
    <row r="110" spans="1:8" ht="18.75" customHeight="1" x14ac:dyDescent="0.2">
      <c r="A110" s="2449" t="s">
        <v>1449</v>
      </c>
      <c r="B110" s="2449" t="s">
        <v>2014</v>
      </c>
      <c r="C110" s="2449" t="s">
        <v>1560</v>
      </c>
      <c r="D110" s="2449" t="s">
        <v>1561</v>
      </c>
      <c r="E110" s="2450">
        <v>785187494</v>
      </c>
      <c r="F110" s="2450">
        <v>0</v>
      </c>
      <c r="G110" s="2450">
        <v>785187494</v>
      </c>
      <c r="H110" s="2450">
        <v>0</v>
      </c>
    </row>
    <row r="111" spans="1:8" ht="18.75" customHeight="1" x14ac:dyDescent="0.2">
      <c r="A111" s="2449" t="s">
        <v>1449</v>
      </c>
      <c r="B111" s="2449" t="s">
        <v>2014</v>
      </c>
      <c r="C111" s="2449" t="s">
        <v>1541</v>
      </c>
      <c r="D111" s="2449" t="s">
        <v>1646</v>
      </c>
      <c r="E111" s="2450">
        <v>1461892400</v>
      </c>
      <c r="F111" s="2450">
        <v>0</v>
      </c>
      <c r="G111" s="2450">
        <v>1461892400</v>
      </c>
      <c r="H111" s="2450">
        <v>0</v>
      </c>
    </row>
    <row r="112" spans="1:8" ht="18.75" customHeight="1" x14ac:dyDescent="0.2">
      <c r="A112" s="2449" t="s">
        <v>1449</v>
      </c>
      <c r="B112" s="2449" t="s">
        <v>2014</v>
      </c>
      <c r="C112" s="2449" t="s">
        <v>1541</v>
      </c>
      <c r="D112" s="2449" t="s">
        <v>1563</v>
      </c>
      <c r="E112" s="2450">
        <v>1255092400</v>
      </c>
      <c r="F112" s="2450">
        <v>0</v>
      </c>
      <c r="G112" s="2450">
        <v>1255092400</v>
      </c>
      <c r="H112" s="2450">
        <v>0</v>
      </c>
    </row>
    <row r="113" spans="1:8" ht="18.75" customHeight="1" x14ac:dyDescent="0.2">
      <c r="A113" s="2449" t="s">
        <v>1449</v>
      </c>
      <c r="B113" s="2449" t="s">
        <v>2014</v>
      </c>
      <c r="C113" s="2449" t="s">
        <v>1541</v>
      </c>
      <c r="D113" s="2449" t="s">
        <v>1886</v>
      </c>
      <c r="E113" s="2450">
        <v>206800000</v>
      </c>
      <c r="F113" s="2450">
        <v>0</v>
      </c>
      <c r="G113" s="2450">
        <v>206800000</v>
      </c>
      <c r="H113" s="2450">
        <v>0</v>
      </c>
    </row>
    <row r="114" spans="1:8" ht="18.75" customHeight="1" x14ac:dyDescent="0.2">
      <c r="A114" s="2449" t="s">
        <v>1449</v>
      </c>
      <c r="B114" s="2449" t="s">
        <v>2014</v>
      </c>
      <c r="C114" s="2449" t="s">
        <v>1573</v>
      </c>
      <c r="D114" s="2449" t="s">
        <v>1646</v>
      </c>
      <c r="E114" s="2450">
        <v>4000000</v>
      </c>
      <c r="F114" s="2450">
        <v>0</v>
      </c>
      <c r="G114" s="2450">
        <v>4000000</v>
      </c>
      <c r="H114" s="2450">
        <v>0</v>
      </c>
    </row>
    <row r="115" spans="1:8" ht="18.75" customHeight="1" x14ac:dyDescent="0.2">
      <c r="A115" s="2449" t="s">
        <v>1449</v>
      </c>
      <c r="B115" s="2449" t="s">
        <v>2014</v>
      </c>
      <c r="C115" s="2449" t="s">
        <v>1573</v>
      </c>
      <c r="D115" s="2449" t="s">
        <v>1576</v>
      </c>
      <c r="E115" s="2450">
        <v>4000000</v>
      </c>
      <c r="F115" s="2450">
        <v>0</v>
      </c>
      <c r="G115" s="2450">
        <v>4000000</v>
      </c>
      <c r="H115" s="2450">
        <v>0</v>
      </c>
    </row>
    <row r="116" spans="1:8" ht="18.75" customHeight="1" x14ac:dyDescent="0.2">
      <c r="A116" s="2449" t="s">
        <v>1449</v>
      </c>
      <c r="B116" s="2449" t="s">
        <v>2014</v>
      </c>
      <c r="C116" s="2449" t="s">
        <v>1862</v>
      </c>
      <c r="D116" s="2449" t="s">
        <v>1646</v>
      </c>
      <c r="E116" s="2450">
        <v>42919253</v>
      </c>
      <c r="F116" s="2450">
        <v>42919253</v>
      </c>
      <c r="G116" s="2450">
        <v>0</v>
      </c>
      <c r="H116" s="2450">
        <v>0</v>
      </c>
    </row>
    <row r="117" spans="1:8" ht="18.75" customHeight="1" x14ac:dyDescent="0.2">
      <c r="A117" s="2449" t="s">
        <v>1449</v>
      </c>
      <c r="B117" s="2449" t="s">
        <v>2014</v>
      </c>
      <c r="C117" s="2449" t="s">
        <v>1862</v>
      </c>
      <c r="D117" s="2449" t="s">
        <v>1887</v>
      </c>
      <c r="E117" s="2450">
        <v>28525653</v>
      </c>
      <c r="F117" s="2450">
        <v>28525653</v>
      </c>
      <c r="G117" s="2450">
        <v>0</v>
      </c>
      <c r="H117" s="2450">
        <v>0</v>
      </c>
    </row>
    <row r="118" spans="1:8" ht="18.75" customHeight="1" x14ac:dyDescent="0.2">
      <c r="A118" s="2449" t="s">
        <v>1449</v>
      </c>
      <c r="B118" s="2449" t="s">
        <v>2014</v>
      </c>
      <c r="C118" s="2449" t="s">
        <v>1862</v>
      </c>
      <c r="D118" s="2449" t="s">
        <v>1888</v>
      </c>
      <c r="E118" s="2450">
        <v>14393600</v>
      </c>
      <c r="F118" s="2450">
        <v>14393600</v>
      </c>
      <c r="G118" s="2450">
        <v>0</v>
      </c>
      <c r="H118" s="2450">
        <v>0</v>
      </c>
    </row>
    <row r="119" spans="1:8" ht="18.75" customHeight="1" x14ac:dyDescent="0.2">
      <c r="A119" s="2449" t="s">
        <v>1449</v>
      </c>
      <c r="B119" s="2449" t="s">
        <v>2014</v>
      </c>
      <c r="C119" s="2449" t="s">
        <v>1542</v>
      </c>
      <c r="D119" s="2449" t="s">
        <v>1646</v>
      </c>
      <c r="E119" s="2450">
        <v>42638038</v>
      </c>
      <c r="F119" s="2450">
        <v>0</v>
      </c>
      <c r="G119" s="2450">
        <v>42638038</v>
      </c>
      <c r="H119" s="2450">
        <v>0</v>
      </c>
    </row>
    <row r="120" spans="1:8" ht="18.75" customHeight="1" x14ac:dyDescent="0.2">
      <c r="A120" s="2449" t="s">
        <v>1449</v>
      </c>
      <c r="B120" s="2449" t="s">
        <v>2014</v>
      </c>
      <c r="C120" s="2449" t="s">
        <v>1542</v>
      </c>
      <c r="D120" s="2449" t="s">
        <v>1577</v>
      </c>
      <c r="E120" s="2450">
        <v>8607953</v>
      </c>
      <c r="F120" s="2450">
        <v>0</v>
      </c>
      <c r="G120" s="2450">
        <v>8607953</v>
      </c>
      <c r="H120" s="2450">
        <v>0</v>
      </c>
    </row>
    <row r="121" spans="1:8" ht="18.75" customHeight="1" x14ac:dyDescent="0.2">
      <c r="A121" s="2449" t="s">
        <v>1449</v>
      </c>
      <c r="B121" s="2449" t="s">
        <v>2014</v>
      </c>
      <c r="C121" s="2449" t="s">
        <v>1542</v>
      </c>
      <c r="D121" s="2449" t="s">
        <v>1552</v>
      </c>
      <c r="E121" s="2450">
        <v>16252</v>
      </c>
      <c r="F121" s="2450">
        <v>0</v>
      </c>
      <c r="G121" s="2450">
        <v>16252</v>
      </c>
      <c r="H121" s="2450">
        <v>0</v>
      </c>
    </row>
    <row r="122" spans="1:8" ht="18.75" customHeight="1" x14ac:dyDescent="0.2">
      <c r="A122" s="2449" t="s">
        <v>1449</v>
      </c>
      <c r="B122" s="2449" t="s">
        <v>2014</v>
      </c>
      <c r="C122" s="2449" t="s">
        <v>1542</v>
      </c>
      <c r="D122" s="2449" t="s">
        <v>1890</v>
      </c>
      <c r="E122" s="2450">
        <v>15910310</v>
      </c>
      <c r="F122" s="2450">
        <v>0</v>
      </c>
      <c r="G122" s="2450">
        <v>15910310</v>
      </c>
      <c r="H122" s="2450">
        <v>0</v>
      </c>
    </row>
    <row r="123" spans="1:8" ht="18.75" customHeight="1" x14ac:dyDescent="0.2">
      <c r="A123" s="2449" t="s">
        <v>1449</v>
      </c>
      <c r="B123" s="2449" t="s">
        <v>2014</v>
      </c>
      <c r="C123" s="2449" t="s">
        <v>1542</v>
      </c>
      <c r="D123" s="2449" t="s">
        <v>1553</v>
      </c>
      <c r="E123" s="2450">
        <v>9191783</v>
      </c>
      <c r="F123" s="2450">
        <v>0</v>
      </c>
      <c r="G123" s="2450">
        <v>9191783</v>
      </c>
      <c r="H123" s="2450">
        <v>0</v>
      </c>
    </row>
    <row r="124" spans="1:8" ht="18.75" customHeight="1" x14ac:dyDescent="0.2">
      <c r="A124" s="2449" t="s">
        <v>1449</v>
      </c>
      <c r="B124" s="2449" t="s">
        <v>2014</v>
      </c>
      <c r="C124" s="2449" t="s">
        <v>1542</v>
      </c>
      <c r="D124" s="2449" t="s">
        <v>1554</v>
      </c>
      <c r="E124" s="2450">
        <v>8911740</v>
      </c>
      <c r="F124" s="2450">
        <v>0</v>
      </c>
      <c r="G124" s="2450">
        <v>8911740</v>
      </c>
      <c r="H124" s="2450">
        <v>0</v>
      </c>
    </row>
    <row r="125" spans="1:8" ht="18.75" customHeight="1" x14ac:dyDescent="0.2">
      <c r="A125" s="2449" t="s">
        <v>1449</v>
      </c>
      <c r="B125" s="2449" t="s">
        <v>2016</v>
      </c>
      <c r="C125" s="2449" t="s">
        <v>1646</v>
      </c>
      <c r="D125" s="2449" t="s">
        <v>1646</v>
      </c>
      <c r="E125" s="2450">
        <v>182845474</v>
      </c>
      <c r="F125" s="2450">
        <v>0</v>
      </c>
      <c r="G125" s="2450">
        <v>182845474</v>
      </c>
      <c r="H125" s="2450">
        <v>0</v>
      </c>
    </row>
    <row r="126" spans="1:8" ht="18.75" customHeight="1" x14ac:dyDescent="0.2">
      <c r="A126" s="2449" t="s">
        <v>1449</v>
      </c>
      <c r="B126" s="2449" t="s">
        <v>2016</v>
      </c>
      <c r="C126" s="2449" t="s">
        <v>1565</v>
      </c>
      <c r="D126" s="2449" t="s">
        <v>1646</v>
      </c>
      <c r="E126" s="2450">
        <v>122848119</v>
      </c>
      <c r="F126" s="2450">
        <v>0</v>
      </c>
      <c r="G126" s="2450">
        <v>122848119</v>
      </c>
      <c r="H126" s="2450">
        <v>0</v>
      </c>
    </row>
    <row r="127" spans="1:8" ht="18.75" customHeight="1" x14ac:dyDescent="0.2">
      <c r="A127" s="2449" t="s">
        <v>1449</v>
      </c>
      <c r="B127" s="2449" t="s">
        <v>2016</v>
      </c>
      <c r="C127" s="2449" t="s">
        <v>1565</v>
      </c>
      <c r="D127" s="2449" t="s">
        <v>1566</v>
      </c>
      <c r="E127" s="2450">
        <v>9444119</v>
      </c>
      <c r="F127" s="2450">
        <v>0</v>
      </c>
      <c r="G127" s="2450">
        <v>9444119</v>
      </c>
      <c r="H127" s="2450">
        <v>0</v>
      </c>
    </row>
    <row r="128" spans="1:8" ht="18.75" customHeight="1" x14ac:dyDescent="0.2">
      <c r="A128" s="2449" t="s">
        <v>1449</v>
      </c>
      <c r="B128" s="2449" t="s">
        <v>2016</v>
      </c>
      <c r="C128" s="2449" t="s">
        <v>1565</v>
      </c>
      <c r="D128" s="2449" t="s">
        <v>1891</v>
      </c>
      <c r="E128" s="2450">
        <v>9004000</v>
      </c>
      <c r="F128" s="2450">
        <v>0</v>
      </c>
      <c r="G128" s="2450">
        <v>9004000</v>
      </c>
      <c r="H128" s="2450">
        <v>0</v>
      </c>
    </row>
    <row r="129" spans="1:8" ht="18.75" customHeight="1" x14ac:dyDescent="0.2">
      <c r="A129" s="2449" t="s">
        <v>1449</v>
      </c>
      <c r="B129" s="2449" t="s">
        <v>2016</v>
      </c>
      <c r="C129" s="2449" t="s">
        <v>1565</v>
      </c>
      <c r="D129" s="2449" t="s">
        <v>1892</v>
      </c>
      <c r="E129" s="2450">
        <v>104400000</v>
      </c>
      <c r="F129" s="2450">
        <v>0</v>
      </c>
      <c r="G129" s="2450">
        <v>104400000</v>
      </c>
      <c r="H129" s="2450">
        <v>0</v>
      </c>
    </row>
    <row r="130" spans="1:8" ht="18.75" customHeight="1" x14ac:dyDescent="0.2">
      <c r="A130" s="2449" t="s">
        <v>1449</v>
      </c>
      <c r="B130" s="2449" t="s">
        <v>2016</v>
      </c>
      <c r="C130" s="2449" t="s">
        <v>1543</v>
      </c>
      <c r="D130" s="2449" t="s">
        <v>1646</v>
      </c>
      <c r="E130" s="2450">
        <v>1950375</v>
      </c>
      <c r="F130" s="2450">
        <v>0</v>
      </c>
      <c r="G130" s="2450">
        <v>1950375</v>
      </c>
      <c r="H130" s="2450">
        <v>0</v>
      </c>
    </row>
    <row r="131" spans="1:8" ht="18.75" customHeight="1" x14ac:dyDescent="0.2">
      <c r="A131" s="2449" t="s">
        <v>1449</v>
      </c>
      <c r="B131" s="2449" t="s">
        <v>2016</v>
      </c>
      <c r="C131" s="2449" t="s">
        <v>1543</v>
      </c>
      <c r="D131" s="2449" t="s">
        <v>1884</v>
      </c>
      <c r="E131" s="2450">
        <v>1950375</v>
      </c>
      <c r="F131" s="2450">
        <v>0</v>
      </c>
      <c r="G131" s="2450">
        <v>1950375</v>
      </c>
      <c r="H131" s="2450">
        <v>0</v>
      </c>
    </row>
    <row r="132" spans="1:8" ht="18.75" customHeight="1" x14ac:dyDescent="0.2">
      <c r="A132" s="2449" t="s">
        <v>1449</v>
      </c>
      <c r="B132" s="2449" t="s">
        <v>2016</v>
      </c>
      <c r="C132" s="2449" t="s">
        <v>1544</v>
      </c>
      <c r="D132" s="2449" t="s">
        <v>1646</v>
      </c>
      <c r="E132" s="2450">
        <v>58000000</v>
      </c>
      <c r="F132" s="2450">
        <v>0</v>
      </c>
      <c r="G132" s="2450">
        <v>58000000</v>
      </c>
      <c r="H132" s="2450">
        <v>0</v>
      </c>
    </row>
    <row r="133" spans="1:8" ht="18.75" customHeight="1" x14ac:dyDescent="0.2">
      <c r="A133" s="2449" t="s">
        <v>1449</v>
      </c>
      <c r="B133" s="2449" t="s">
        <v>2016</v>
      </c>
      <c r="C133" s="2449" t="s">
        <v>1544</v>
      </c>
      <c r="D133" s="2449" t="s">
        <v>1545</v>
      </c>
      <c r="E133" s="2450">
        <v>58000000</v>
      </c>
      <c r="F133" s="2450">
        <v>0</v>
      </c>
      <c r="G133" s="2450">
        <v>58000000</v>
      </c>
      <c r="H133" s="2450">
        <v>0</v>
      </c>
    </row>
    <row r="134" spans="1:8" ht="18.75" customHeight="1" x14ac:dyDescent="0.2">
      <c r="A134" s="2449" t="s">
        <v>1449</v>
      </c>
      <c r="B134" s="2449" t="s">
        <v>2016</v>
      </c>
      <c r="C134" s="2449" t="s">
        <v>1542</v>
      </c>
      <c r="D134" s="2449" t="s">
        <v>1646</v>
      </c>
      <c r="E134" s="2450">
        <v>46980</v>
      </c>
      <c r="F134" s="2450">
        <v>0</v>
      </c>
      <c r="G134" s="2450">
        <v>46980</v>
      </c>
      <c r="H134" s="2450">
        <v>0</v>
      </c>
    </row>
    <row r="135" spans="1:8" ht="18.75" customHeight="1" x14ac:dyDescent="0.2">
      <c r="A135" s="2449" t="s">
        <v>1449</v>
      </c>
      <c r="B135" s="2449" t="s">
        <v>2016</v>
      </c>
      <c r="C135" s="2449" t="s">
        <v>1542</v>
      </c>
      <c r="D135" s="2449" t="s">
        <v>1577</v>
      </c>
      <c r="E135" s="2450">
        <v>46980</v>
      </c>
      <c r="F135" s="2450">
        <v>0</v>
      </c>
      <c r="G135" s="2450">
        <v>46980</v>
      </c>
      <c r="H135" s="2450">
        <v>0</v>
      </c>
    </row>
    <row r="136" spans="1:8" ht="18.75" customHeight="1" x14ac:dyDescent="0.2">
      <c r="A136" s="2449" t="s">
        <v>1449</v>
      </c>
      <c r="B136" s="2449" t="s">
        <v>2017</v>
      </c>
      <c r="C136" s="2449" t="s">
        <v>1646</v>
      </c>
      <c r="D136" s="2449" t="s">
        <v>1646</v>
      </c>
      <c r="E136" s="2450">
        <v>2859120</v>
      </c>
      <c r="F136" s="2450">
        <v>0</v>
      </c>
      <c r="G136" s="2450">
        <v>2859120</v>
      </c>
      <c r="H136" s="2450">
        <v>0</v>
      </c>
    </row>
    <row r="137" spans="1:8" ht="18.75" customHeight="1" x14ac:dyDescent="0.2">
      <c r="A137" s="2449" t="s">
        <v>1449</v>
      </c>
      <c r="B137" s="2449" t="s">
        <v>2017</v>
      </c>
      <c r="C137" s="2449" t="s">
        <v>1543</v>
      </c>
      <c r="D137" s="2449" t="s">
        <v>1646</v>
      </c>
      <c r="E137" s="2450">
        <v>2859120</v>
      </c>
      <c r="F137" s="2450">
        <v>0</v>
      </c>
      <c r="G137" s="2450">
        <v>2859120</v>
      </c>
      <c r="H137" s="2450">
        <v>0</v>
      </c>
    </row>
    <row r="138" spans="1:8" ht="18.75" customHeight="1" x14ac:dyDescent="0.2">
      <c r="A138" s="2449" t="s">
        <v>1449</v>
      </c>
      <c r="B138" s="2449" t="s">
        <v>2017</v>
      </c>
      <c r="C138" s="2449" t="s">
        <v>1543</v>
      </c>
      <c r="D138" s="2449" t="s">
        <v>1885</v>
      </c>
      <c r="E138" s="2450">
        <v>2859120</v>
      </c>
      <c r="F138" s="2450">
        <v>0</v>
      </c>
      <c r="G138" s="2450">
        <v>2859120</v>
      </c>
      <c r="H138" s="2450">
        <v>0</v>
      </c>
    </row>
    <row r="139" spans="1:8" ht="18.75" customHeight="1" x14ac:dyDescent="0.2">
      <c r="A139" s="2449" t="s">
        <v>1449</v>
      </c>
      <c r="B139" s="2449" t="s">
        <v>2018</v>
      </c>
      <c r="C139" s="2449" t="s">
        <v>1646</v>
      </c>
      <c r="D139" s="2449" t="s">
        <v>1646</v>
      </c>
      <c r="E139" s="2450">
        <v>45070278</v>
      </c>
      <c r="F139" s="2450">
        <v>0</v>
      </c>
      <c r="G139" s="2450">
        <v>45070278</v>
      </c>
      <c r="H139" s="2450">
        <v>0</v>
      </c>
    </row>
    <row r="140" spans="1:8" ht="18.75" customHeight="1" x14ac:dyDescent="0.2">
      <c r="A140" s="2449" t="s">
        <v>1449</v>
      </c>
      <c r="B140" s="2449" t="s">
        <v>2018</v>
      </c>
      <c r="C140" s="2449" t="s">
        <v>1547</v>
      </c>
      <c r="D140" s="2449" t="s">
        <v>1646</v>
      </c>
      <c r="E140" s="2450">
        <v>21140139</v>
      </c>
      <c r="F140" s="2450">
        <v>0</v>
      </c>
      <c r="G140" s="2450">
        <v>21140139</v>
      </c>
      <c r="H140" s="2450">
        <v>0</v>
      </c>
    </row>
    <row r="141" spans="1:8" ht="18.75" customHeight="1" x14ac:dyDescent="0.2">
      <c r="A141" s="2449" t="s">
        <v>1449</v>
      </c>
      <c r="B141" s="2449" t="s">
        <v>2018</v>
      </c>
      <c r="C141" s="2449" t="s">
        <v>1547</v>
      </c>
      <c r="D141" s="2449" t="s">
        <v>1548</v>
      </c>
      <c r="E141" s="2450">
        <v>21140139</v>
      </c>
      <c r="F141" s="2450">
        <v>0</v>
      </c>
      <c r="G141" s="2450">
        <v>21140139</v>
      </c>
      <c r="H141" s="2450">
        <v>0</v>
      </c>
    </row>
    <row r="142" spans="1:8" ht="18.75" customHeight="1" x14ac:dyDescent="0.2">
      <c r="A142" s="2449" t="s">
        <v>1449</v>
      </c>
      <c r="B142" s="2449" t="s">
        <v>2018</v>
      </c>
      <c r="C142" s="2449" t="s">
        <v>1543</v>
      </c>
      <c r="D142" s="2449" t="s">
        <v>1646</v>
      </c>
      <c r="E142" s="2450">
        <v>2790000</v>
      </c>
      <c r="F142" s="2450">
        <v>0</v>
      </c>
      <c r="G142" s="2450">
        <v>2790000</v>
      </c>
      <c r="H142" s="2450">
        <v>0</v>
      </c>
    </row>
    <row r="143" spans="1:8" ht="18.75" customHeight="1" x14ac:dyDescent="0.2">
      <c r="A143" s="2449" t="s">
        <v>1449</v>
      </c>
      <c r="B143" s="2449" t="s">
        <v>2018</v>
      </c>
      <c r="C143" s="2449" t="s">
        <v>1543</v>
      </c>
      <c r="D143" s="2449" t="s">
        <v>1885</v>
      </c>
      <c r="E143" s="2450">
        <v>2790000</v>
      </c>
      <c r="F143" s="2450">
        <v>0</v>
      </c>
      <c r="G143" s="2450">
        <v>2790000</v>
      </c>
      <c r="H143" s="2450">
        <v>0</v>
      </c>
    </row>
    <row r="144" spans="1:8" ht="18.75" customHeight="1" x14ac:dyDescent="0.2">
      <c r="A144" s="2449" t="s">
        <v>1449</v>
      </c>
      <c r="B144" s="2449" t="s">
        <v>2018</v>
      </c>
      <c r="C144" s="2449" t="s">
        <v>1544</v>
      </c>
      <c r="D144" s="2449" t="s">
        <v>1646</v>
      </c>
      <c r="E144" s="2450">
        <v>21140139</v>
      </c>
      <c r="F144" s="2450">
        <v>0</v>
      </c>
      <c r="G144" s="2450">
        <v>21140139</v>
      </c>
      <c r="H144" s="2450">
        <v>0</v>
      </c>
    </row>
    <row r="145" spans="1:8" ht="18.75" customHeight="1" x14ac:dyDescent="0.2">
      <c r="A145" s="2449" t="s">
        <v>1449</v>
      </c>
      <c r="B145" s="2449" t="s">
        <v>2018</v>
      </c>
      <c r="C145" s="2449" t="s">
        <v>1544</v>
      </c>
      <c r="D145" s="2449" t="s">
        <v>1545</v>
      </c>
      <c r="E145" s="2450">
        <v>21140139</v>
      </c>
      <c r="F145" s="2450">
        <v>0</v>
      </c>
      <c r="G145" s="2450">
        <v>21140139</v>
      </c>
      <c r="H145" s="2450">
        <v>0</v>
      </c>
    </row>
    <row r="146" spans="1:8" ht="18.75" customHeight="1" x14ac:dyDescent="0.2">
      <c r="A146" s="2448" t="s">
        <v>1704</v>
      </c>
      <c r="B146" s="2449" t="s">
        <v>1646</v>
      </c>
      <c r="C146" s="2449" t="s">
        <v>1646</v>
      </c>
      <c r="D146" s="2449" t="s">
        <v>1646</v>
      </c>
      <c r="E146" s="2447">
        <v>439059133239</v>
      </c>
      <c r="F146" s="2447">
        <v>647481075</v>
      </c>
      <c r="G146" s="2447">
        <v>60834414793</v>
      </c>
      <c r="H146" s="2447">
        <v>377577237371</v>
      </c>
    </row>
    <row r="147" spans="1:8" ht="18.75" customHeight="1" x14ac:dyDescent="0.2">
      <c r="A147" s="2449" t="s">
        <v>1704</v>
      </c>
      <c r="B147" s="2449" t="s">
        <v>1856</v>
      </c>
      <c r="C147" s="2449" t="s">
        <v>1646</v>
      </c>
      <c r="D147" s="2449" t="s">
        <v>1646</v>
      </c>
      <c r="E147" s="2450">
        <v>128812</v>
      </c>
      <c r="F147" s="2450">
        <v>0</v>
      </c>
      <c r="G147" s="2450">
        <v>128812</v>
      </c>
      <c r="H147" s="2450">
        <v>0</v>
      </c>
    </row>
    <row r="148" spans="1:8" ht="18.75" customHeight="1" x14ac:dyDescent="0.2">
      <c r="A148" s="2449" t="s">
        <v>1704</v>
      </c>
      <c r="B148" s="2449" t="s">
        <v>1856</v>
      </c>
      <c r="C148" s="2449" t="s">
        <v>1542</v>
      </c>
      <c r="D148" s="2449" t="s">
        <v>1646</v>
      </c>
      <c r="E148" s="2450">
        <v>128812</v>
      </c>
      <c r="F148" s="2450">
        <v>0</v>
      </c>
      <c r="G148" s="2450">
        <v>128812</v>
      </c>
      <c r="H148" s="2450">
        <v>0</v>
      </c>
    </row>
    <row r="149" spans="1:8" ht="18.75" customHeight="1" x14ac:dyDescent="0.2">
      <c r="A149" s="2449" t="s">
        <v>1704</v>
      </c>
      <c r="B149" s="2449" t="s">
        <v>1856</v>
      </c>
      <c r="C149" s="2449" t="s">
        <v>1542</v>
      </c>
      <c r="D149" s="2449" t="s">
        <v>1577</v>
      </c>
      <c r="E149" s="2450">
        <v>105663</v>
      </c>
      <c r="F149" s="2450">
        <v>0</v>
      </c>
      <c r="G149" s="2450">
        <v>105663</v>
      </c>
      <c r="H149" s="2450">
        <v>0</v>
      </c>
    </row>
    <row r="150" spans="1:8" ht="18.75" customHeight="1" x14ac:dyDescent="0.2">
      <c r="A150" s="2449" t="s">
        <v>1704</v>
      </c>
      <c r="B150" s="2449" t="s">
        <v>1856</v>
      </c>
      <c r="C150" s="2449" t="s">
        <v>1542</v>
      </c>
      <c r="D150" s="2449" t="s">
        <v>1552</v>
      </c>
      <c r="E150" s="2450">
        <v>23149</v>
      </c>
      <c r="F150" s="2450">
        <v>0</v>
      </c>
      <c r="G150" s="2450">
        <v>23149</v>
      </c>
      <c r="H150" s="2450">
        <v>0</v>
      </c>
    </row>
    <row r="151" spans="1:8" ht="18.75" customHeight="1" x14ac:dyDescent="0.2">
      <c r="A151" s="2449" t="s">
        <v>1704</v>
      </c>
      <c r="B151" s="2449" t="s">
        <v>1857</v>
      </c>
      <c r="C151" s="2449" t="s">
        <v>1646</v>
      </c>
      <c r="D151" s="2449" t="s">
        <v>1646</v>
      </c>
      <c r="E151" s="2450">
        <v>733641</v>
      </c>
      <c r="F151" s="2450">
        <v>0</v>
      </c>
      <c r="G151" s="2450">
        <v>733641</v>
      </c>
      <c r="H151" s="2450">
        <v>0</v>
      </c>
    </row>
    <row r="152" spans="1:8" ht="18.75" customHeight="1" x14ac:dyDescent="0.2">
      <c r="A152" s="2449" t="s">
        <v>1704</v>
      </c>
      <c r="B152" s="2449" t="s">
        <v>1857</v>
      </c>
      <c r="C152" s="2449" t="s">
        <v>1547</v>
      </c>
      <c r="D152" s="2449" t="s">
        <v>1646</v>
      </c>
      <c r="E152" s="2450">
        <v>187500</v>
      </c>
      <c r="F152" s="2450">
        <v>0</v>
      </c>
      <c r="G152" s="2450">
        <v>187500</v>
      </c>
      <c r="H152" s="2450">
        <v>0</v>
      </c>
    </row>
    <row r="153" spans="1:8" ht="18.75" customHeight="1" x14ac:dyDescent="0.2">
      <c r="A153" s="2449" t="s">
        <v>1704</v>
      </c>
      <c r="B153" s="2449" t="s">
        <v>1857</v>
      </c>
      <c r="C153" s="2449" t="s">
        <v>1547</v>
      </c>
      <c r="D153" s="2449" t="s">
        <v>1548</v>
      </c>
      <c r="E153" s="2450">
        <v>187500</v>
      </c>
      <c r="F153" s="2450">
        <v>0</v>
      </c>
      <c r="G153" s="2450">
        <v>187500</v>
      </c>
      <c r="H153" s="2450">
        <v>0</v>
      </c>
    </row>
    <row r="154" spans="1:8" ht="18.75" customHeight="1" x14ac:dyDescent="0.2">
      <c r="A154" s="2449" t="s">
        <v>1704</v>
      </c>
      <c r="B154" s="2449" t="s">
        <v>1857</v>
      </c>
      <c r="C154" s="2449" t="s">
        <v>1544</v>
      </c>
      <c r="D154" s="2449" t="s">
        <v>1646</v>
      </c>
      <c r="E154" s="2450">
        <v>187500</v>
      </c>
      <c r="F154" s="2450">
        <v>0</v>
      </c>
      <c r="G154" s="2450">
        <v>187500</v>
      </c>
      <c r="H154" s="2450">
        <v>0</v>
      </c>
    </row>
    <row r="155" spans="1:8" ht="18.75" customHeight="1" x14ac:dyDescent="0.2">
      <c r="A155" s="2449" t="s">
        <v>1704</v>
      </c>
      <c r="B155" s="2449" t="s">
        <v>1857</v>
      </c>
      <c r="C155" s="2449" t="s">
        <v>1544</v>
      </c>
      <c r="D155" s="2449" t="s">
        <v>1545</v>
      </c>
      <c r="E155" s="2450">
        <v>187500</v>
      </c>
      <c r="F155" s="2450">
        <v>0</v>
      </c>
      <c r="G155" s="2450">
        <v>187500</v>
      </c>
      <c r="H155" s="2450">
        <v>0</v>
      </c>
    </row>
    <row r="156" spans="1:8" ht="18.75" customHeight="1" x14ac:dyDescent="0.2">
      <c r="A156" s="2449" t="s">
        <v>1704</v>
      </c>
      <c r="B156" s="2449" t="s">
        <v>1857</v>
      </c>
      <c r="C156" s="2449" t="s">
        <v>1542</v>
      </c>
      <c r="D156" s="2449" t="s">
        <v>1646</v>
      </c>
      <c r="E156" s="2450">
        <v>358641</v>
      </c>
      <c r="F156" s="2450">
        <v>0</v>
      </c>
      <c r="G156" s="2450">
        <v>358641</v>
      </c>
      <c r="H156" s="2450">
        <v>0</v>
      </c>
    </row>
    <row r="157" spans="1:8" ht="18.75" customHeight="1" x14ac:dyDescent="0.2">
      <c r="A157" s="2449" t="s">
        <v>1704</v>
      </c>
      <c r="B157" s="2449" t="s">
        <v>1857</v>
      </c>
      <c r="C157" s="2449" t="s">
        <v>1542</v>
      </c>
      <c r="D157" s="2449" t="s">
        <v>1552</v>
      </c>
      <c r="E157" s="2450">
        <v>182817</v>
      </c>
      <c r="F157" s="2450">
        <v>0</v>
      </c>
      <c r="G157" s="2450">
        <v>182817</v>
      </c>
      <c r="H157" s="2450">
        <v>0</v>
      </c>
    </row>
    <row r="158" spans="1:8" ht="18.75" customHeight="1" x14ac:dyDescent="0.2">
      <c r="A158" s="2449" t="s">
        <v>1704</v>
      </c>
      <c r="B158" s="2449" t="s">
        <v>1857</v>
      </c>
      <c r="C158" s="2449" t="s">
        <v>1542</v>
      </c>
      <c r="D158" s="2449" t="s">
        <v>1553</v>
      </c>
      <c r="E158" s="2450">
        <v>175824</v>
      </c>
      <c r="F158" s="2450">
        <v>0</v>
      </c>
      <c r="G158" s="2450">
        <v>175824</v>
      </c>
      <c r="H158" s="2450">
        <v>0</v>
      </c>
    </row>
    <row r="159" spans="1:8" ht="18.75" customHeight="1" x14ac:dyDescent="0.2">
      <c r="A159" s="2449" t="s">
        <v>1704</v>
      </c>
      <c r="B159" s="2449" t="s">
        <v>1858</v>
      </c>
      <c r="C159" s="2449" t="s">
        <v>1646</v>
      </c>
      <c r="D159" s="2449" t="s">
        <v>1646</v>
      </c>
      <c r="E159" s="2450">
        <v>3014414</v>
      </c>
      <c r="F159" s="2450">
        <v>0</v>
      </c>
      <c r="G159" s="2450">
        <v>3014414</v>
      </c>
      <c r="H159" s="2450">
        <v>0</v>
      </c>
    </row>
    <row r="160" spans="1:8" ht="18.75" customHeight="1" x14ac:dyDescent="0.2">
      <c r="A160" s="2449" t="s">
        <v>1704</v>
      </c>
      <c r="B160" s="2449" t="s">
        <v>1858</v>
      </c>
      <c r="C160" s="2449" t="s">
        <v>1542</v>
      </c>
      <c r="D160" s="2449" t="s">
        <v>1646</v>
      </c>
      <c r="E160" s="2450">
        <v>3014414</v>
      </c>
      <c r="F160" s="2450">
        <v>0</v>
      </c>
      <c r="G160" s="2450">
        <v>3014414</v>
      </c>
      <c r="H160" s="2450">
        <v>0</v>
      </c>
    </row>
    <row r="161" spans="1:8" ht="18.75" customHeight="1" x14ac:dyDescent="0.2">
      <c r="A161" s="2449" t="s">
        <v>1704</v>
      </c>
      <c r="B161" s="2449" t="s">
        <v>1858</v>
      </c>
      <c r="C161" s="2449" t="s">
        <v>1542</v>
      </c>
      <c r="D161" s="2449" t="s">
        <v>1859</v>
      </c>
      <c r="E161" s="2450">
        <v>3014414</v>
      </c>
      <c r="F161" s="2450">
        <v>0</v>
      </c>
      <c r="G161" s="2450">
        <v>3014414</v>
      </c>
      <c r="H161" s="2450">
        <v>0</v>
      </c>
    </row>
    <row r="162" spans="1:8" ht="18.75" customHeight="1" x14ac:dyDescent="0.2">
      <c r="A162" s="2449" t="s">
        <v>1704</v>
      </c>
      <c r="B162" s="2449" t="s">
        <v>1546</v>
      </c>
      <c r="C162" s="2449" t="s">
        <v>1646</v>
      </c>
      <c r="D162" s="2449" t="s">
        <v>1646</v>
      </c>
      <c r="E162" s="2450">
        <v>3484281355</v>
      </c>
      <c r="F162" s="2450">
        <v>0</v>
      </c>
      <c r="G162" s="2450">
        <v>471713919</v>
      </c>
      <c r="H162" s="2450">
        <v>3012567436</v>
      </c>
    </row>
    <row r="163" spans="1:8" ht="18.75" customHeight="1" x14ac:dyDescent="0.2">
      <c r="A163" s="2449" t="s">
        <v>1704</v>
      </c>
      <c r="B163" s="2449" t="s">
        <v>1546</v>
      </c>
      <c r="C163" s="2449" t="s">
        <v>1544</v>
      </c>
      <c r="D163" s="2449" t="s">
        <v>1646</v>
      </c>
      <c r="E163" s="2450">
        <v>380652000</v>
      </c>
      <c r="F163" s="2450">
        <v>0</v>
      </c>
      <c r="G163" s="2450">
        <v>380652000</v>
      </c>
      <c r="H163" s="2450">
        <v>0</v>
      </c>
    </row>
    <row r="164" spans="1:8" ht="18.75" customHeight="1" x14ac:dyDescent="0.2">
      <c r="A164" s="2449" t="s">
        <v>1704</v>
      </c>
      <c r="B164" s="2449" t="s">
        <v>1546</v>
      </c>
      <c r="C164" s="2449" t="s">
        <v>1544</v>
      </c>
      <c r="D164" s="2449" t="s">
        <v>1545</v>
      </c>
      <c r="E164" s="2450">
        <v>380652000</v>
      </c>
      <c r="F164" s="2450">
        <v>0</v>
      </c>
      <c r="G164" s="2450">
        <v>380652000</v>
      </c>
      <c r="H164" s="2450">
        <v>0</v>
      </c>
    </row>
    <row r="165" spans="1:8" ht="18.75" customHeight="1" x14ac:dyDescent="0.2">
      <c r="A165" s="2449" t="s">
        <v>1704</v>
      </c>
      <c r="B165" s="2449" t="s">
        <v>1546</v>
      </c>
      <c r="C165" s="2449" t="s">
        <v>1549</v>
      </c>
      <c r="D165" s="2449" t="s">
        <v>1646</v>
      </c>
      <c r="E165" s="2450">
        <v>22721400</v>
      </c>
      <c r="F165" s="2450">
        <v>0</v>
      </c>
      <c r="G165" s="2450">
        <v>22721400</v>
      </c>
      <c r="H165" s="2450">
        <v>0</v>
      </c>
    </row>
    <row r="166" spans="1:8" ht="18.75" customHeight="1" x14ac:dyDescent="0.2">
      <c r="A166" s="2449" t="s">
        <v>1704</v>
      </c>
      <c r="B166" s="2449" t="s">
        <v>1546</v>
      </c>
      <c r="C166" s="2449" t="s">
        <v>1549</v>
      </c>
      <c r="D166" s="2449" t="s">
        <v>1550</v>
      </c>
      <c r="E166" s="2450">
        <v>22721400</v>
      </c>
      <c r="F166" s="2450">
        <v>0</v>
      </c>
      <c r="G166" s="2450">
        <v>22721400</v>
      </c>
      <c r="H166" s="2450">
        <v>0</v>
      </c>
    </row>
    <row r="167" spans="1:8" ht="18.75" customHeight="1" x14ac:dyDescent="0.2">
      <c r="A167" s="2449" t="s">
        <v>1704</v>
      </c>
      <c r="B167" s="2449" t="s">
        <v>1546</v>
      </c>
      <c r="C167" s="2449" t="s">
        <v>1540</v>
      </c>
      <c r="D167" s="2449" t="s">
        <v>1646</v>
      </c>
      <c r="E167" s="2450">
        <v>3346400</v>
      </c>
      <c r="F167" s="2450">
        <v>0</v>
      </c>
      <c r="G167" s="2450">
        <v>3346400</v>
      </c>
      <c r="H167" s="2450">
        <v>0</v>
      </c>
    </row>
    <row r="168" spans="1:8" ht="18.75" customHeight="1" x14ac:dyDescent="0.2">
      <c r="A168" s="2449" t="s">
        <v>1704</v>
      </c>
      <c r="B168" s="2449" t="s">
        <v>1546</v>
      </c>
      <c r="C168" s="2449" t="s">
        <v>1540</v>
      </c>
      <c r="D168" s="2449" t="s">
        <v>1551</v>
      </c>
      <c r="E168" s="2450">
        <v>3346400</v>
      </c>
      <c r="F168" s="2450">
        <v>0</v>
      </c>
      <c r="G168" s="2450">
        <v>3346400</v>
      </c>
      <c r="H168" s="2450">
        <v>0</v>
      </c>
    </row>
    <row r="169" spans="1:8" ht="18.75" customHeight="1" x14ac:dyDescent="0.2">
      <c r="A169" s="2449" t="s">
        <v>1704</v>
      </c>
      <c r="B169" s="2449" t="s">
        <v>1546</v>
      </c>
      <c r="C169" s="2449" t="s">
        <v>1860</v>
      </c>
      <c r="D169" s="2449" t="s">
        <v>1646</v>
      </c>
      <c r="E169" s="2450">
        <v>62265500</v>
      </c>
      <c r="F169" s="2450">
        <v>0</v>
      </c>
      <c r="G169" s="2450">
        <v>62265500</v>
      </c>
      <c r="H169" s="2450">
        <v>0</v>
      </c>
    </row>
    <row r="170" spans="1:8" ht="18.75" customHeight="1" x14ac:dyDescent="0.2">
      <c r="A170" s="2449" t="s">
        <v>1704</v>
      </c>
      <c r="B170" s="2449" t="s">
        <v>1546</v>
      </c>
      <c r="C170" s="2449" t="s">
        <v>1860</v>
      </c>
      <c r="D170" s="2449" t="s">
        <v>1861</v>
      </c>
      <c r="E170" s="2450">
        <v>62265500</v>
      </c>
      <c r="F170" s="2450">
        <v>0</v>
      </c>
      <c r="G170" s="2450">
        <v>62265500</v>
      </c>
      <c r="H170" s="2450">
        <v>0</v>
      </c>
    </row>
    <row r="171" spans="1:8" ht="18.75" customHeight="1" x14ac:dyDescent="0.2">
      <c r="A171" s="2449" t="s">
        <v>1704</v>
      </c>
      <c r="B171" s="2449" t="s">
        <v>1546</v>
      </c>
      <c r="C171" s="2449" t="s">
        <v>1862</v>
      </c>
      <c r="D171" s="2449" t="s">
        <v>1646</v>
      </c>
      <c r="E171" s="2450">
        <v>716127605</v>
      </c>
      <c r="F171" s="2450">
        <v>0</v>
      </c>
      <c r="G171" s="2450">
        <v>2500000</v>
      </c>
      <c r="H171" s="2450">
        <v>713627605</v>
      </c>
    </row>
    <row r="172" spans="1:8" ht="18.75" customHeight="1" x14ac:dyDescent="0.2">
      <c r="A172" s="2449" t="s">
        <v>1704</v>
      </c>
      <c r="B172" s="2449" t="s">
        <v>1546</v>
      </c>
      <c r="C172" s="2449" t="s">
        <v>1862</v>
      </c>
      <c r="D172" s="2449" t="s">
        <v>1863</v>
      </c>
      <c r="E172" s="2450">
        <v>47779000</v>
      </c>
      <c r="F172" s="2450">
        <v>0</v>
      </c>
      <c r="G172" s="2450">
        <v>0</v>
      </c>
      <c r="H172" s="2450">
        <v>47779000</v>
      </c>
    </row>
    <row r="173" spans="1:8" ht="18.75" customHeight="1" x14ac:dyDescent="0.2">
      <c r="A173" s="2449" t="s">
        <v>1704</v>
      </c>
      <c r="B173" s="2449" t="s">
        <v>1546</v>
      </c>
      <c r="C173" s="2449" t="s">
        <v>1862</v>
      </c>
      <c r="D173" s="2449" t="s">
        <v>1864</v>
      </c>
      <c r="E173" s="2450">
        <v>294080400</v>
      </c>
      <c r="F173" s="2450">
        <v>0</v>
      </c>
      <c r="G173" s="2450">
        <v>0</v>
      </c>
      <c r="H173" s="2450">
        <v>294080400</v>
      </c>
    </row>
    <row r="174" spans="1:8" ht="18.75" customHeight="1" x14ac:dyDescent="0.2">
      <c r="A174" s="2449" t="s">
        <v>1704</v>
      </c>
      <c r="B174" s="2449" t="s">
        <v>1546</v>
      </c>
      <c r="C174" s="2449" t="s">
        <v>1862</v>
      </c>
      <c r="D174" s="2449" t="s">
        <v>1865</v>
      </c>
      <c r="E174" s="2450">
        <v>374268205</v>
      </c>
      <c r="F174" s="2450">
        <v>0</v>
      </c>
      <c r="G174" s="2450">
        <v>2500000</v>
      </c>
      <c r="H174" s="2450">
        <v>371768205</v>
      </c>
    </row>
    <row r="175" spans="1:8" ht="18.75" customHeight="1" x14ac:dyDescent="0.2">
      <c r="A175" s="2449" t="s">
        <v>1704</v>
      </c>
      <c r="B175" s="2449" t="s">
        <v>1546</v>
      </c>
      <c r="C175" s="2449" t="s">
        <v>1866</v>
      </c>
      <c r="D175" s="2449" t="s">
        <v>1646</v>
      </c>
      <c r="E175" s="2450">
        <v>500799277</v>
      </c>
      <c r="F175" s="2450">
        <v>0</v>
      </c>
      <c r="G175" s="2450">
        <v>0</v>
      </c>
      <c r="H175" s="2450">
        <v>500799277</v>
      </c>
    </row>
    <row r="176" spans="1:8" ht="18.75" customHeight="1" x14ac:dyDescent="0.2">
      <c r="A176" s="2449" t="s">
        <v>1704</v>
      </c>
      <c r="B176" s="2449" t="s">
        <v>1546</v>
      </c>
      <c r="C176" s="2449" t="s">
        <v>1866</v>
      </c>
      <c r="D176" s="2449" t="s">
        <v>1867</v>
      </c>
      <c r="E176" s="2450">
        <v>500799277</v>
      </c>
      <c r="F176" s="2450">
        <v>0</v>
      </c>
      <c r="G176" s="2450">
        <v>0</v>
      </c>
      <c r="H176" s="2450">
        <v>500799277</v>
      </c>
    </row>
    <row r="177" spans="1:8" ht="18.75" customHeight="1" x14ac:dyDescent="0.2">
      <c r="A177" s="2449" t="s">
        <v>1704</v>
      </c>
      <c r="B177" s="2449" t="s">
        <v>1546</v>
      </c>
      <c r="C177" s="2449" t="s">
        <v>1542</v>
      </c>
      <c r="D177" s="2449" t="s">
        <v>1646</v>
      </c>
      <c r="E177" s="2450">
        <v>1798369173</v>
      </c>
      <c r="F177" s="2450">
        <v>0</v>
      </c>
      <c r="G177" s="2450">
        <v>228619</v>
      </c>
      <c r="H177" s="2450">
        <v>1798140554</v>
      </c>
    </row>
    <row r="178" spans="1:8" ht="18.75" customHeight="1" x14ac:dyDescent="0.2">
      <c r="A178" s="2449" t="s">
        <v>1704</v>
      </c>
      <c r="B178" s="2449" t="s">
        <v>1546</v>
      </c>
      <c r="C178" s="2449" t="s">
        <v>1542</v>
      </c>
      <c r="D178" s="2449" t="s">
        <v>1554</v>
      </c>
      <c r="E178" s="2450">
        <v>228619</v>
      </c>
      <c r="F178" s="2450">
        <v>0</v>
      </c>
      <c r="G178" s="2450">
        <v>228619</v>
      </c>
      <c r="H178" s="2450">
        <v>0</v>
      </c>
    </row>
    <row r="179" spans="1:8" ht="18.75" customHeight="1" x14ac:dyDescent="0.2">
      <c r="A179" s="2449" t="s">
        <v>1704</v>
      </c>
      <c r="B179" s="2449" t="s">
        <v>1546</v>
      </c>
      <c r="C179" s="2449" t="s">
        <v>1542</v>
      </c>
      <c r="D179" s="2449" t="s">
        <v>1555</v>
      </c>
      <c r="E179" s="2450">
        <v>1798140554</v>
      </c>
      <c r="F179" s="2450">
        <v>0</v>
      </c>
      <c r="G179" s="2450">
        <v>0</v>
      </c>
      <c r="H179" s="2450">
        <v>1798140554</v>
      </c>
    </row>
    <row r="180" spans="1:8" ht="18.75" customHeight="1" x14ac:dyDescent="0.2">
      <c r="A180" s="2449" t="s">
        <v>1704</v>
      </c>
      <c r="B180" s="2449" t="s">
        <v>1868</v>
      </c>
      <c r="C180" s="2449" t="s">
        <v>1646</v>
      </c>
      <c r="D180" s="2449" t="s">
        <v>1646</v>
      </c>
      <c r="E180" s="2450">
        <v>149284874</v>
      </c>
      <c r="F180" s="2450">
        <v>47700</v>
      </c>
      <c r="G180" s="2450">
        <v>64676648</v>
      </c>
      <c r="H180" s="2450">
        <v>84560526</v>
      </c>
    </row>
    <row r="181" spans="1:8" ht="18.75" customHeight="1" x14ac:dyDescent="0.2">
      <c r="A181" s="2449" t="s">
        <v>1704</v>
      </c>
      <c r="B181" s="2449" t="s">
        <v>1868</v>
      </c>
      <c r="C181" s="2449" t="s">
        <v>1869</v>
      </c>
      <c r="D181" s="2449" t="s">
        <v>1646</v>
      </c>
      <c r="E181" s="2450">
        <v>4480000</v>
      </c>
      <c r="F181" s="2450">
        <v>0</v>
      </c>
      <c r="G181" s="2450">
        <v>4480000</v>
      </c>
      <c r="H181" s="2450">
        <v>0</v>
      </c>
    </row>
    <row r="182" spans="1:8" ht="18.75" customHeight="1" x14ac:dyDescent="0.2">
      <c r="A182" s="2449" t="s">
        <v>1704</v>
      </c>
      <c r="B182" s="2449" t="s">
        <v>1868</v>
      </c>
      <c r="C182" s="2449" t="s">
        <v>1869</v>
      </c>
      <c r="D182" s="2449" t="s">
        <v>1870</v>
      </c>
      <c r="E182" s="2450">
        <v>4480000</v>
      </c>
      <c r="F182" s="2450">
        <v>0</v>
      </c>
      <c r="G182" s="2450">
        <v>4480000</v>
      </c>
      <c r="H182" s="2450">
        <v>0</v>
      </c>
    </row>
    <row r="183" spans="1:8" ht="18.75" customHeight="1" x14ac:dyDescent="0.2">
      <c r="A183" s="2449" t="s">
        <v>1704</v>
      </c>
      <c r="B183" s="2449" t="s">
        <v>1868</v>
      </c>
      <c r="C183" s="2449" t="s">
        <v>1871</v>
      </c>
      <c r="D183" s="2449" t="s">
        <v>1646</v>
      </c>
      <c r="E183" s="2450">
        <v>34168368</v>
      </c>
      <c r="F183" s="2450">
        <v>0</v>
      </c>
      <c r="G183" s="2450">
        <v>34168368</v>
      </c>
      <c r="H183" s="2450">
        <v>0</v>
      </c>
    </row>
    <row r="184" spans="1:8" ht="18.75" customHeight="1" x14ac:dyDescent="0.2">
      <c r="A184" s="2449" t="s">
        <v>1704</v>
      </c>
      <c r="B184" s="2449" t="s">
        <v>1868</v>
      </c>
      <c r="C184" s="2449" t="s">
        <v>1871</v>
      </c>
      <c r="D184" s="2449" t="s">
        <v>1872</v>
      </c>
      <c r="E184" s="2450">
        <v>34168368</v>
      </c>
      <c r="F184" s="2450">
        <v>0</v>
      </c>
      <c r="G184" s="2450">
        <v>34168368</v>
      </c>
      <c r="H184" s="2450">
        <v>0</v>
      </c>
    </row>
    <row r="185" spans="1:8" ht="18.75" customHeight="1" x14ac:dyDescent="0.2">
      <c r="A185" s="2449" t="s">
        <v>1704</v>
      </c>
      <c r="B185" s="2449" t="s">
        <v>1868</v>
      </c>
      <c r="C185" s="2449" t="s">
        <v>1873</v>
      </c>
      <c r="D185" s="2449" t="s">
        <v>1646</v>
      </c>
      <c r="E185" s="2450">
        <v>10418400</v>
      </c>
      <c r="F185" s="2450">
        <v>0</v>
      </c>
      <c r="G185" s="2450">
        <v>10418400</v>
      </c>
      <c r="H185" s="2450">
        <v>0</v>
      </c>
    </row>
    <row r="186" spans="1:8" ht="18.75" customHeight="1" x14ac:dyDescent="0.2">
      <c r="A186" s="2449" t="s">
        <v>1704</v>
      </c>
      <c r="B186" s="2449" t="s">
        <v>1868</v>
      </c>
      <c r="C186" s="2449" t="s">
        <v>1873</v>
      </c>
      <c r="D186" s="2449" t="s">
        <v>1874</v>
      </c>
      <c r="E186" s="2450">
        <v>10418400</v>
      </c>
      <c r="F186" s="2450">
        <v>0</v>
      </c>
      <c r="G186" s="2450">
        <v>10418400</v>
      </c>
      <c r="H186" s="2450">
        <v>0</v>
      </c>
    </row>
    <row r="187" spans="1:8" ht="18.75" customHeight="1" x14ac:dyDescent="0.2">
      <c r="A187" s="2449" t="s">
        <v>1704</v>
      </c>
      <c r="B187" s="2449" t="s">
        <v>1868</v>
      </c>
      <c r="C187" s="2449" t="s">
        <v>1560</v>
      </c>
      <c r="D187" s="2449" t="s">
        <v>1646</v>
      </c>
      <c r="E187" s="2450">
        <v>3000000</v>
      </c>
      <c r="F187" s="2450">
        <v>0</v>
      </c>
      <c r="G187" s="2450">
        <v>3000000</v>
      </c>
      <c r="H187" s="2450">
        <v>0</v>
      </c>
    </row>
    <row r="188" spans="1:8" ht="18.75" customHeight="1" x14ac:dyDescent="0.2">
      <c r="A188" s="2449" t="s">
        <v>1704</v>
      </c>
      <c r="B188" s="2449" t="s">
        <v>1868</v>
      </c>
      <c r="C188" s="2449" t="s">
        <v>1560</v>
      </c>
      <c r="D188" s="2449" t="s">
        <v>1875</v>
      </c>
      <c r="E188" s="2450">
        <v>3000000</v>
      </c>
      <c r="F188" s="2450">
        <v>0</v>
      </c>
      <c r="G188" s="2450">
        <v>3000000</v>
      </c>
      <c r="H188" s="2450">
        <v>0</v>
      </c>
    </row>
    <row r="189" spans="1:8" ht="18.75" customHeight="1" x14ac:dyDescent="0.2">
      <c r="A189" s="2449" t="s">
        <v>1704</v>
      </c>
      <c r="B189" s="2449" t="s">
        <v>1868</v>
      </c>
      <c r="C189" s="2449" t="s">
        <v>1862</v>
      </c>
      <c r="D189" s="2449" t="s">
        <v>1646</v>
      </c>
      <c r="E189" s="2450">
        <v>84560526</v>
      </c>
      <c r="F189" s="2450">
        <v>0</v>
      </c>
      <c r="G189" s="2450">
        <v>0</v>
      </c>
      <c r="H189" s="2450">
        <v>84560526</v>
      </c>
    </row>
    <row r="190" spans="1:8" ht="18.75" customHeight="1" x14ac:dyDescent="0.2">
      <c r="A190" s="2449" t="s">
        <v>1704</v>
      </c>
      <c r="B190" s="2449" t="s">
        <v>1868</v>
      </c>
      <c r="C190" s="2449" t="s">
        <v>1862</v>
      </c>
      <c r="D190" s="2449" t="s">
        <v>1864</v>
      </c>
      <c r="E190" s="2450">
        <v>84560526</v>
      </c>
      <c r="F190" s="2450">
        <v>0</v>
      </c>
      <c r="G190" s="2450">
        <v>0</v>
      </c>
      <c r="H190" s="2450">
        <v>84560526</v>
      </c>
    </row>
    <row r="191" spans="1:8" ht="18.75" customHeight="1" x14ac:dyDescent="0.2">
      <c r="A191" s="2449" t="s">
        <v>1704</v>
      </c>
      <c r="B191" s="2449" t="s">
        <v>1868</v>
      </c>
      <c r="C191" s="2449" t="s">
        <v>1542</v>
      </c>
      <c r="D191" s="2449" t="s">
        <v>1646</v>
      </c>
      <c r="E191" s="2450">
        <v>12657580</v>
      </c>
      <c r="F191" s="2450">
        <v>47700</v>
      </c>
      <c r="G191" s="2450">
        <v>12609880</v>
      </c>
      <c r="H191" s="2450">
        <v>0</v>
      </c>
    </row>
    <row r="192" spans="1:8" ht="18.75" customHeight="1" x14ac:dyDescent="0.2">
      <c r="A192" s="2449" t="s">
        <v>1704</v>
      </c>
      <c r="B192" s="2449" t="s">
        <v>1868</v>
      </c>
      <c r="C192" s="2449" t="s">
        <v>1542</v>
      </c>
      <c r="D192" s="2449" t="s">
        <v>1859</v>
      </c>
      <c r="E192" s="2450">
        <v>12565000</v>
      </c>
      <c r="F192" s="2450">
        <v>0</v>
      </c>
      <c r="G192" s="2450">
        <v>12565000</v>
      </c>
      <c r="H192" s="2450">
        <v>0</v>
      </c>
    </row>
    <row r="193" spans="1:8" ht="18.75" customHeight="1" x14ac:dyDescent="0.2">
      <c r="A193" s="2449" t="s">
        <v>1704</v>
      </c>
      <c r="B193" s="2449" t="s">
        <v>1868</v>
      </c>
      <c r="C193" s="2449" t="s">
        <v>1542</v>
      </c>
      <c r="D193" s="2449" t="s">
        <v>1876</v>
      </c>
      <c r="E193" s="2450">
        <v>47700</v>
      </c>
      <c r="F193" s="2450">
        <v>47700</v>
      </c>
      <c r="G193" s="2450">
        <v>0</v>
      </c>
      <c r="H193" s="2450">
        <v>0</v>
      </c>
    </row>
    <row r="194" spans="1:8" ht="18.75" customHeight="1" x14ac:dyDescent="0.2">
      <c r="A194" s="2449" t="s">
        <v>1704</v>
      </c>
      <c r="B194" s="2449" t="s">
        <v>1868</v>
      </c>
      <c r="C194" s="2449" t="s">
        <v>1542</v>
      </c>
      <c r="D194" s="2449" t="s">
        <v>1554</v>
      </c>
      <c r="E194" s="2450">
        <v>44880</v>
      </c>
      <c r="F194" s="2450">
        <v>0</v>
      </c>
      <c r="G194" s="2450">
        <v>44880</v>
      </c>
      <c r="H194" s="2450">
        <v>0</v>
      </c>
    </row>
    <row r="195" spans="1:8" ht="18.75" customHeight="1" x14ac:dyDescent="0.2">
      <c r="A195" s="2449" t="s">
        <v>1704</v>
      </c>
      <c r="B195" s="2449" t="s">
        <v>1877</v>
      </c>
      <c r="C195" s="2449" t="s">
        <v>1646</v>
      </c>
      <c r="D195" s="2449" t="s">
        <v>1646</v>
      </c>
      <c r="E195" s="2450">
        <v>62861623</v>
      </c>
      <c r="F195" s="2450">
        <v>0</v>
      </c>
      <c r="G195" s="2450">
        <v>62861623</v>
      </c>
      <c r="H195" s="2450">
        <v>0</v>
      </c>
    </row>
    <row r="196" spans="1:8" ht="18.75" customHeight="1" x14ac:dyDescent="0.2">
      <c r="A196" s="2449" t="s">
        <v>1704</v>
      </c>
      <c r="B196" s="2449" t="s">
        <v>1877</v>
      </c>
      <c r="C196" s="2449" t="s">
        <v>1869</v>
      </c>
      <c r="D196" s="2449" t="s">
        <v>1646</v>
      </c>
      <c r="E196" s="2450">
        <v>1200000</v>
      </c>
      <c r="F196" s="2450">
        <v>0</v>
      </c>
      <c r="G196" s="2450">
        <v>1200000</v>
      </c>
      <c r="H196" s="2450">
        <v>0</v>
      </c>
    </row>
    <row r="197" spans="1:8" ht="18.75" customHeight="1" x14ac:dyDescent="0.2">
      <c r="A197" s="2449" t="s">
        <v>1704</v>
      </c>
      <c r="B197" s="2449" t="s">
        <v>1877</v>
      </c>
      <c r="C197" s="2449" t="s">
        <v>1869</v>
      </c>
      <c r="D197" s="2449" t="s">
        <v>1870</v>
      </c>
      <c r="E197" s="2450">
        <v>700000</v>
      </c>
      <c r="F197" s="2450">
        <v>0</v>
      </c>
      <c r="G197" s="2450">
        <v>700000</v>
      </c>
      <c r="H197" s="2450">
        <v>0</v>
      </c>
    </row>
    <row r="198" spans="1:8" ht="18.75" customHeight="1" x14ac:dyDescent="0.2">
      <c r="A198" s="2449" t="s">
        <v>1704</v>
      </c>
      <c r="B198" s="2449" t="s">
        <v>1877</v>
      </c>
      <c r="C198" s="2449" t="s">
        <v>1869</v>
      </c>
      <c r="D198" s="2449" t="s">
        <v>1878</v>
      </c>
      <c r="E198" s="2450">
        <v>500000</v>
      </c>
      <c r="F198" s="2450">
        <v>0</v>
      </c>
      <c r="G198" s="2450">
        <v>500000</v>
      </c>
      <c r="H198" s="2450">
        <v>0</v>
      </c>
    </row>
    <row r="199" spans="1:8" ht="18.75" customHeight="1" x14ac:dyDescent="0.2">
      <c r="A199" s="2449" t="s">
        <v>1704</v>
      </c>
      <c r="B199" s="2449" t="s">
        <v>1877</v>
      </c>
      <c r="C199" s="2449" t="s">
        <v>1560</v>
      </c>
      <c r="D199" s="2449" t="s">
        <v>1646</v>
      </c>
      <c r="E199" s="2450">
        <v>20590000</v>
      </c>
      <c r="F199" s="2450">
        <v>0</v>
      </c>
      <c r="G199" s="2450">
        <v>20590000</v>
      </c>
      <c r="H199" s="2450">
        <v>0</v>
      </c>
    </row>
    <row r="200" spans="1:8" ht="18.75" customHeight="1" x14ac:dyDescent="0.2">
      <c r="A200" s="2449" t="s">
        <v>1704</v>
      </c>
      <c r="B200" s="2449" t="s">
        <v>1877</v>
      </c>
      <c r="C200" s="2449" t="s">
        <v>1560</v>
      </c>
      <c r="D200" s="2449" t="s">
        <v>1879</v>
      </c>
      <c r="E200" s="2450">
        <v>20590000</v>
      </c>
      <c r="F200" s="2450">
        <v>0</v>
      </c>
      <c r="G200" s="2450">
        <v>20590000</v>
      </c>
      <c r="H200" s="2450">
        <v>0</v>
      </c>
    </row>
    <row r="201" spans="1:8" ht="18.75" customHeight="1" x14ac:dyDescent="0.2">
      <c r="A201" s="2449" t="s">
        <v>1704</v>
      </c>
      <c r="B201" s="2449" t="s">
        <v>1877</v>
      </c>
      <c r="C201" s="2449" t="s">
        <v>1549</v>
      </c>
      <c r="D201" s="2449" t="s">
        <v>1646</v>
      </c>
      <c r="E201" s="2450">
        <v>17498000</v>
      </c>
      <c r="F201" s="2450">
        <v>0</v>
      </c>
      <c r="G201" s="2450">
        <v>17498000</v>
      </c>
      <c r="H201" s="2450">
        <v>0</v>
      </c>
    </row>
    <row r="202" spans="1:8" ht="18.75" customHeight="1" x14ac:dyDescent="0.2">
      <c r="A202" s="2449" t="s">
        <v>1704</v>
      </c>
      <c r="B202" s="2449" t="s">
        <v>1877</v>
      </c>
      <c r="C202" s="2449" t="s">
        <v>1549</v>
      </c>
      <c r="D202" s="2449" t="s">
        <v>1550</v>
      </c>
      <c r="E202" s="2450">
        <v>12266000</v>
      </c>
      <c r="F202" s="2450">
        <v>0</v>
      </c>
      <c r="G202" s="2450">
        <v>12266000</v>
      </c>
      <c r="H202" s="2450">
        <v>0</v>
      </c>
    </row>
    <row r="203" spans="1:8" ht="18.75" customHeight="1" x14ac:dyDescent="0.2">
      <c r="A203" s="2449" t="s">
        <v>1704</v>
      </c>
      <c r="B203" s="2449" t="s">
        <v>1877</v>
      </c>
      <c r="C203" s="2449" t="s">
        <v>1549</v>
      </c>
      <c r="D203" s="2449" t="s">
        <v>1880</v>
      </c>
      <c r="E203" s="2450">
        <v>5232000</v>
      </c>
      <c r="F203" s="2450">
        <v>0</v>
      </c>
      <c r="G203" s="2450">
        <v>5232000</v>
      </c>
      <c r="H203" s="2450">
        <v>0</v>
      </c>
    </row>
    <row r="204" spans="1:8" ht="18.75" customHeight="1" x14ac:dyDescent="0.2">
      <c r="A204" s="2449" t="s">
        <v>1704</v>
      </c>
      <c r="B204" s="2449" t="s">
        <v>1877</v>
      </c>
      <c r="C204" s="2449" t="s">
        <v>1540</v>
      </c>
      <c r="D204" s="2449" t="s">
        <v>1646</v>
      </c>
      <c r="E204" s="2450">
        <v>8795000</v>
      </c>
      <c r="F204" s="2450">
        <v>0</v>
      </c>
      <c r="G204" s="2450">
        <v>8795000</v>
      </c>
      <c r="H204" s="2450">
        <v>0</v>
      </c>
    </row>
    <row r="205" spans="1:8" ht="18.75" customHeight="1" x14ac:dyDescent="0.2">
      <c r="A205" s="2449" t="s">
        <v>1704</v>
      </c>
      <c r="B205" s="2449" t="s">
        <v>1877</v>
      </c>
      <c r="C205" s="2449" t="s">
        <v>1540</v>
      </c>
      <c r="D205" s="2449" t="s">
        <v>1551</v>
      </c>
      <c r="E205" s="2450">
        <v>8795000</v>
      </c>
      <c r="F205" s="2450">
        <v>0</v>
      </c>
      <c r="G205" s="2450">
        <v>8795000</v>
      </c>
      <c r="H205" s="2450">
        <v>0</v>
      </c>
    </row>
    <row r="206" spans="1:8" ht="18.75" customHeight="1" x14ac:dyDescent="0.2">
      <c r="A206" s="2449" t="s">
        <v>1704</v>
      </c>
      <c r="B206" s="2449" t="s">
        <v>1877</v>
      </c>
      <c r="C206" s="2449" t="s">
        <v>1541</v>
      </c>
      <c r="D206" s="2449" t="s">
        <v>1646</v>
      </c>
      <c r="E206" s="2450">
        <v>3055000</v>
      </c>
      <c r="F206" s="2450">
        <v>0</v>
      </c>
      <c r="G206" s="2450">
        <v>3055000</v>
      </c>
      <c r="H206" s="2450">
        <v>0</v>
      </c>
    </row>
    <row r="207" spans="1:8" ht="18.75" customHeight="1" x14ac:dyDescent="0.2">
      <c r="A207" s="2449" t="s">
        <v>1704</v>
      </c>
      <c r="B207" s="2449" t="s">
        <v>1877</v>
      </c>
      <c r="C207" s="2449" t="s">
        <v>1541</v>
      </c>
      <c r="D207" s="2449" t="s">
        <v>1881</v>
      </c>
      <c r="E207" s="2450">
        <v>1225000</v>
      </c>
      <c r="F207" s="2450">
        <v>0</v>
      </c>
      <c r="G207" s="2450">
        <v>1225000</v>
      </c>
      <c r="H207" s="2450">
        <v>0</v>
      </c>
    </row>
    <row r="208" spans="1:8" ht="18.75" customHeight="1" x14ac:dyDescent="0.2">
      <c r="A208" s="2449" t="s">
        <v>1704</v>
      </c>
      <c r="B208" s="2449" t="s">
        <v>1877</v>
      </c>
      <c r="C208" s="2449" t="s">
        <v>1541</v>
      </c>
      <c r="D208" s="2449" t="s">
        <v>1882</v>
      </c>
      <c r="E208" s="2450">
        <v>1830000</v>
      </c>
      <c r="F208" s="2450">
        <v>0</v>
      </c>
      <c r="G208" s="2450">
        <v>1830000</v>
      </c>
      <c r="H208" s="2450">
        <v>0</v>
      </c>
    </row>
    <row r="209" spans="1:8" ht="18.75" customHeight="1" x14ac:dyDescent="0.2">
      <c r="A209" s="2449" t="s">
        <v>1704</v>
      </c>
      <c r="B209" s="2449" t="s">
        <v>1877</v>
      </c>
      <c r="C209" s="2449" t="s">
        <v>1573</v>
      </c>
      <c r="D209" s="2449" t="s">
        <v>1646</v>
      </c>
      <c r="E209" s="2450">
        <v>11415000</v>
      </c>
      <c r="F209" s="2450">
        <v>0</v>
      </c>
      <c r="G209" s="2450">
        <v>11415000</v>
      </c>
      <c r="H209" s="2450">
        <v>0</v>
      </c>
    </row>
    <row r="210" spans="1:8" ht="18.75" customHeight="1" x14ac:dyDescent="0.2">
      <c r="A210" s="2449" t="s">
        <v>1704</v>
      </c>
      <c r="B210" s="2449" t="s">
        <v>1877</v>
      </c>
      <c r="C210" s="2449" t="s">
        <v>1573</v>
      </c>
      <c r="D210" s="2449" t="s">
        <v>1883</v>
      </c>
      <c r="E210" s="2450">
        <v>11415000</v>
      </c>
      <c r="F210" s="2450">
        <v>0</v>
      </c>
      <c r="G210" s="2450">
        <v>11415000</v>
      </c>
      <c r="H210" s="2450">
        <v>0</v>
      </c>
    </row>
    <row r="211" spans="1:8" ht="18.75" customHeight="1" x14ac:dyDescent="0.2">
      <c r="A211" s="2449" t="s">
        <v>1704</v>
      </c>
      <c r="B211" s="2449" t="s">
        <v>1877</v>
      </c>
      <c r="C211" s="2449" t="s">
        <v>1542</v>
      </c>
      <c r="D211" s="2449" t="s">
        <v>1646</v>
      </c>
      <c r="E211" s="2450">
        <v>308623</v>
      </c>
      <c r="F211" s="2450">
        <v>0</v>
      </c>
      <c r="G211" s="2450">
        <v>308623</v>
      </c>
      <c r="H211" s="2450">
        <v>0</v>
      </c>
    </row>
    <row r="212" spans="1:8" ht="18.75" customHeight="1" x14ac:dyDescent="0.2">
      <c r="A212" s="2449" t="s">
        <v>1704</v>
      </c>
      <c r="B212" s="2449" t="s">
        <v>1877</v>
      </c>
      <c r="C212" s="2449" t="s">
        <v>1542</v>
      </c>
      <c r="D212" s="2449" t="s">
        <v>1554</v>
      </c>
      <c r="E212" s="2450">
        <v>308623</v>
      </c>
      <c r="F212" s="2450">
        <v>0</v>
      </c>
      <c r="G212" s="2450">
        <v>308623</v>
      </c>
      <c r="H212" s="2450">
        <v>0</v>
      </c>
    </row>
    <row r="213" spans="1:8" ht="18.75" customHeight="1" x14ac:dyDescent="0.2">
      <c r="A213" s="2449" t="s">
        <v>1704</v>
      </c>
      <c r="B213" s="2449" t="s">
        <v>1556</v>
      </c>
      <c r="C213" s="2449" t="s">
        <v>1646</v>
      </c>
      <c r="D213" s="2449" t="s">
        <v>1646</v>
      </c>
      <c r="E213" s="2450">
        <v>1740694688</v>
      </c>
      <c r="F213" s="2450">
        <v>0</v>
      </c>
      <c r="G213" s="2450">
        <v>1740694688</v>
      </c>
      <c r="H213" s="2450">
        <v>0</v>
      </c>
    </row>
    <row r="214" spans="1:8" ht="18.75" customHeight="1" x14ac:dyDescent="0.2">
      <c r="A214" s="2449" t="s">
        <v>1704</v>
      </c>
      <c r="B214" s="2449" t="s">
        <v>1556</v>
      </c>
      <c r="C214" s="2449" t="s">
        <v>1547</v>
      </c>
      <c r="D214" s="2449" t="s">
        <v>1646</v>
      </c>
      <c r="E214" s="2450">
        <v>29200000</v>
      </c>
      <c r="F214" s="2450">
        <v>0</v>
      </c>
      <c r="G214" s="2450">
        <v>29200000</v>
      </c>
      <c r="H214" s="2450">
        <v>0</v>
      </c>
    </row>
    <row r="215" spans="1:8" ht="18.75" customHeight="1" x14ac:dyDescent="0.2">
      <c r="A215" s="2449" t="s">
        <v>1704</v>
      </c>
      <c r="B215" s="2449" t="s">
        <v>1556</v>
      </c>
      <c r="C215" s="2449" t="s">
        <v>1547</v>
      </c>
      <c r="D215" s="2449" t="s">
        <v>1548</v>
      </c>
      <c r="E215" s="2450">
        <v>29200000</v>
      </c>
      <c r="F215" s="2450">
        <v>0</v>
      </c>
      <c r="G215" s="2450">
        <v>29200000</v>
      </c>
      <c r="H215" s="2450">
        <v>0</v>
      </c>
    </row>
    <row r="216" spans="1:8" ht="18.75" customHeight="1" x14ac:dyDescent="0.2">
      <c r="A216" s="2449" t="s">
        <v>1704</v>
      </c>
      <c r="B216" s="2449" t="s">
        <v>1556</v>
      </c>
      <c r="C216" s="2449" t="s">
        <v>1543</v>
      </c>
      <c r="D216" s="2449" t="s">
        <v>1646</v>
      </c>
      <c r="E216" s="2450">
        <v>20560258</v>
      </c>
      <c r="F216" s="2450">
        <v>0</v>
      </c>
      <c r="G216" s="2450">
        <v>20560258</v>
      </c>
      <c r="H216" s="2450">
        <v>0</v>
      </c>
    </row>
    <row r="217" spans="1:8" ht="18.75" customHeight="1" x14ac:dyDescent="0.2">
      <c r="A217" s="2449" t="s">
        <v>1704</v>
      </c>
      <c r="B217" s="2449" t="s">
        <v>1556</v>
      </c>
      <c r="C217" s="2449" t="s">
        <v>1543</v>
      </c>
      <c r="D217" s="2449" t="s">
        <v>1884</v>
      </c>
      <c r="E217" s="2450">
        <v>3957000</v>
      </c>
      <c r="F217" s="2450">
        <v>0</v>
      </c>
      <c r="G217" s="2450">
        <v>3957000</v>
      </c>
      <c r="H217" s="2450">
        <v>0</v>
      </c>
    </row>
    <row r="218" spans="1:8" ht="18.75" customHeight="1" x14ac:dyDescent="0.2">
      <c r="A218" s="2449" t="s">
        <v>1704</v>
      </c>
      <c r="B218" s="2449" t="s">
        <v>1556</v>
      </c>
      <c r="C218" s="2449" t="s">
        <v>1543</v>
      </c>
      <c r="D218" s="2449" t="s">
        <v>1885</v>
      </c>
      <c r="E218" s="2450">
        <v>16603258</v>
      </c>
      <c r="F218" s="2450">
        <v>0</v>
      </c>
      <c r="G218" s="2450">
        <v>16603258</v>
      </c>
      <c r="H218" s="2450">
        <v>0</v>
      </c>
    </row>
    <row r="219" spans="1:8" ht="18.75" customHeight="1" x14ac:dyDescent="0.2">
      <c r="A219" s="2449" t="s">
        <v>1704</v>
      </c>
      <c r="B219" s="2449" t="s">
        <v>1556</v>
      </c>
      <c r="C219" s="2449" t="s">
        <v>1544</v>
      </c>
      <c r="D219" s="2449" t="s">
        <v>1646</v>
      </c>
      <c r="E219" s="2450">
        <v>1667647630</v>
      </c>
      <c r="F219" s="2450">
        <v>0</v>
      </c>
      <c r="G219" s="2450">
        <v>1667647630</v>
      </c>
      <c r="H219" s="2450">
        <v>0</v>
      </c>
    </row>
    <row r="220" spans="1:8" ht="18.75" customHeight="1" x14ac:dyDescent="0.2">
      <c r="A220" s="2449" t="s">
        <v>1704</v>
      </c>
      <c r="B220" s="2449" t="s">
        <v>1556</v>
      </c>
      <c r="C220" s="2449" t="s">
        <v>1544</v>
      </c>
      <c r="D220" s="2449" t="s">
        <v>1545</v>
      </c>
      <c r="E220" s="2450">
        <v>1667647630</v>
      </c>
      <c r="F220" s="2450">
        <v>0</v>
      </c>
      <c r="G220" s="2450">
        <v>1667647630</v>
      </c>
      <c r="H220" s="2450">
        <v>0</v>
      </c>
    </row>
    <row r="221" spans="1:8" ht="18.75" customHeight="1" x14ac:dyDescent="0.2">
      <c r="A221" s="2449" t="s">
        <v>1704</v>
      </c>
      <c r="B221" s="2449" t="s">
        <v>1556</v>
      </c>
      <c r="C221" s="2449" t="s">
        <v>1573</v>
      </c>
      <c r="D221" s="2449" t="s">
        <v>1646</v>
      </c>
      <c r="E221" s="2450">
        <v>23000000</v>
      </c>
      <c r="F221" s="2450">
        <v>0</v>
      </c>
      <c r="G221" s="2450">
        <v>23000000</v>
      </c>
      <c r="H221" s="2450">
        <v>0</v>
      </c>
    </row>
    <row r="222" spans="1:8" ht="18.75" customHeight="1" x14ac:dyDescent="0.2">
      <c r="A222" s="2449" t="s">
        <v>1704</v>
      </c>
      <c r="B222" s="2449" t="s">
        <v>1556</v>
      </c>
      <c r="C222" s="2449" t="s">
        <v>1573</v>
      </c>
      <c r="D222" s="2449" t="s">
        <v>1576</v>
      </c>
      <c r="E222" s="2450">
        <v>23000000</v>
      </c>
      <c r="F222" s="2450">
        <v>0</v>
      </c>
      <c r="G222" s="2450">
        <v>23000000</v>
      </c>
      <c r="H222" s="2450">
        <v>0</v>
      </c>
    </row>
    <row r="223" spans="1:8" ht="18.75" customHeight="1" x14ac:dyDescent="0.2">
      <c r="A223" s="2449" t="s">
        <v>1704</v>
      </c>
      <c r="B223" s="2449" t="s">
        <v>1556</v>
      </c>
      <c r="C223" s="2449" t="s">
        <v>1542</v>
      </c>
      <c r="D223" s="2449" t="s">
        <v>1646</v>
      </c>
      <c r="E223" s="2450">
        <v>286800</v>
      </c>
      <c r="F223" s="2450">
        <v>0</v>
      </c>
      <c r="G223" s="2450">
        <v>286800</v>
      </c>
      <c r="H223" s="2450">
        <v>0</v>
      </c>
    </row>
    <row r="224" spans="1:8" ht="18.75" customHeight="1" x14ac:dyDescent="0.2">
      <c r="A224" s="2449" t="s">
        <v>1704</v>
      </c>
      <c r="B224" s="2449" t="s">
        <v>1556</v>
      </c>
      <c r="C224" s="2449" t="s">
        <v>1542</v>
      </c>
      <c r="D224" s="2449" t="s">
        <v>1553</v>
      </c>
      <c r="E224" s="2450">
        <v>78300</v>
      </c>
      <c r="F224" s="2450">
        <v>0</v>
      </c>
      <c r="G224" s="2450">
        <v>78300</v>
      </c>
      <c r="H224" s="2450">
        <v>0</v>
      </c>
    </row>
    <row r="225" spans="1:8" ht="18.75" customHeight="1" x14ac:dyDescent="0.2">
      <c r="A225" s="2449" t="s">
        <v>1704</v>
      </c>
      <c r="B225" s="2449" t="s">
        <v>1556</v>
      </c>
      <c r="C225" s="2449" t="s">
        <v>1542</v>
      </c>
      <c r="D225" s="2449" t="s">
        <v>1554</v>
      </c>
      <c r="E225" s="2450">
        <v>208500</v>
      </c>
      <c r="F225" s="2450">
        <v>0</v>
      </c>
      <c r="G225" s="2450">
        <v>208500</v>
      </c>
      <c r="H225" s="2450">
        <v>0</v>
      </c>
    </row>
    <row r="226" spans="1:8" ht="18.75" customHeight="1" x14ac:dyDescent="0.2">
      <c r="A226" s="2449" t="s">
        <v>1704</v>
      </c>
      <c r="B226" s="2449" t="s">
        <v>1557</v>
      </c>
      <c r="C226" s="2449" t="s">
        <v>1646</v>
      </c>
      <c r="D226" s="2449" t="s">
        <v>1646</v>
      </c>
      <c r="E226" s="2450">
        <v>13621998827</v>
      </c>
      <c r="F226" s="2450">
        <v>549406121</v>
      </c>
      <c r="G226" s="2450">
        <v>13072592706</v>
      </c>
      <c r="H226" s="2450">
        <v>0</v>
      </c>
    </row>
    <row r="227" spans="1:8" ht="18.75" customHeight="1" x14ac:dyDescent="0.2">
      <c r="A227" s="2449" t="s">
        <v>1704</v>
      </c>
      <c r="B227" s="2449" t="s">
        <v>1557</v>
      </c>
      <c r="C227" s="2449" t="s">
        <v>1547</v>
      </c>
      <c r="D227" s="2449" t="s">
        <v>1646</v>
      </c>
      <c r="E227" s="2450">
        <v>1879362555</v>
      </c>
      <c r="F227" s="2450">
        <v>0</v>
      </c>
      <c r="G227" s="2450">
        <v>1879362555</v>
      </c>
      <c r="H227" s="2450">
        <v>0</v>
      </c>
    </row>
    <row r="228" spans="1:8" ht="18.75" customHeight="1" x14ac:dyDescent="0.2">
      <c r="A228" s="2449" t="s">
        <v>1704</v>
      </c>
      <c r="B228" s="2449" t="s">
        <v>1557</v>
      </c>
      <c r="C228" s="2449" t="s">
        <v>1547</v>
      </c>
      <c r="D228" s="2449" t="s">
        <v>1548</v>
      </c>
      <c r="E228" s="2450">
        <v>1879362555</v>
      </c>
      <c r="F228" s="2450">
        <v>0</v>
      </c>
      <c r="G228" s="2450">
        <v>1879362555</v>
      </c>
      <c r="H228" s="2450">
        <v>0</v>
      </c>
    </row>
    <row r="229" spans="1:8" ht="18.75" customHeight="1" x14ac:dyDescent="0.2">
      <c r="A229" s="2449" t="s">
        <v>1704</v>
      </c>
      <c r="B229" s="2449" t="s">
        <v>1557</v>
      </c>
      <c r="C229" s="2449" t="s">
        <v>1558</v>
      </c>
      <c r="D229" s="2449" t="s">
        <v>1646</v>
      </c>
      <c r="E229" s="2450">
        <v>215436750</v>
      </c>
      <c r="F229" s="2450">
        <v>0</v>
      </c>
      <c r="G229" s="2450">
        <v>215436750</v>
      </c>
      <c r="H229" s="2450">
        <v>0</v>
      </c>
    </row>
    <row r="230" spans="1:8" ht="18.75" customHeight="1" x14ac:dyDescent="0.2">
      <c r="A230" s="2449" t="s">
        <v>1704</v>
      </c>
      <c r="B230" s="2449" t="s">
        <v>1557</v>
      </c>
      <c r="C230" s="2449" t="s">
        <v>1558</v>
      </c>
      <c r="D230" s="2449" t="s">
        <v>1559</v>
      </c>
      <c r="E230" s="2450">
        <v>215436750</v>
      </c>
      <c r="F230" s="2450">
        <v>0</v>
      </c>
      <c r="G230" s="2450">
        <v>215436750</v>
      </c>
      <c r="H230" s="2450">
        <v>0</v>
      </c>
    </row>
    <row r="231" spans="1:8" ht="18.75" customHeight="1" x14ac:dyDescent="0.2">
      <c r="A231" s="2449" t="s">
        <v>1704</v>
      </c>
      <c r="B231" s="2449" t="s">
        <v>1557</v>
      </c>
      <c r="C231" s="2449" t="s">
        <v>1544</v>
      </c>
      <c r="D231" s="2449" t="s">
        <v>1646</v>
      </c>
      <c r="E231" s="2450">
        <v>9437824446</v>
      </c>
      <c r="F231" s="2450">
        <v>0</v>
      </c>
      <c r="G231" s="2450">
        <v>9437824446</v>
      </c>
      <c r="H231" s="2450">
        <v>0</v>
      </c>
    </row>
    <row r="232" spans="1:8" ht="18.75" customHeight="1" x14ac:dyDescent="0.2">
      <c r="A232" s="2449" t="s">
        <v>1704</v>
      </c>
      <c r="B232" s="2449" t="s">
        <v>1557</v>
      </c>
      <c r="C232" s="2449" t="s">
        <v>1544</v>
      </c>
      <c r="D232" s="2449" t="s">
        <v>1545</v>
      </c>
      <c r="E232" s="2450">
        <v>9437824446</v>
      </c>
      <c r="F232" s="2450">
        <v>0</v>
      </c>
      <c r="G232" s="2450">
        <v>9437824446</v>
      </c>
      <c r="H232" s="2450">
        <v>0</v>
      </c>
    </row>
    <row r="233" spans="1:8" ht="18.75" customHeight="1" x14ac:dyDescent="0.2">
      <c r="A233" s="2449" t="s">
        <v>1704</v>
      </c>
      <c r="B233" s="2449" t="s">
        <v>1557</v>
      </c>
      <c r="C233" s="2449" t="s">
        <v>1560</v>
      </c>
      <c r="D233" s="2449" t="s">
        <v>1646</v>
      </c>
      <c r="E233" s="2450">
        <v>100419279</v>
      </c>
      <c r="F233" s="2450">
        <v>0</v>
      </c>
      <c r="G233" s="2450">
        <v>100419279</v>
      </c>
      <c r="H233" s="2450">
        <v>0</v>
      </c>
    </row>
    <row r="234" spans="1:8" ht="18.75" customHeight="1" x14ac:dyDescent="0.2">
      <c r="A234" s="2449" t="s">
        <v>1704</v>
      </c>
      <c r="B234" s="2449" t="s">
        <v>1557</v>
      </c>
      <c r="C234" s="2449" t="s">
        <v>1560</v>
      </c>
      <c r="D234" s="2449" t="s">
        <v>1561</v>
      </c>
      <c r="E234" s="2450">
        <v>100419279</v>
      </c>
      <c r="F234" s="2450">
        <v>0</v>
      </c>
      <c r="G234" s="2450">
        <v>100419279</v>
      </c>
      <c r="H234" s="2450">
        <v>0</v>
      </c>
    </row>
    <row r="235" spans="1:8" ht="18.75" customHeight="1" x14ac:dyDescent="0.2">
      <c r="A235" s="2449" t="s">
        <v>1704</v>
      </c>
      <c r="B235" s="2449" t="s">
        <v>1557</v>
      </c>
      <c r="C235" s="2449" t="s">
        <v>1541</v>
      </c>
      <c r="D235" s="2449" t="s">
        <v>1646</v>
      </c>
      <c r="E235" s="2450">
        <v>693285000</v>
      </c>
      <c r="F235" s="2450">
        <v>0</v>
      </c>
      <c r="G235" s="2450">
        <v>693285000</v>
      </c>
      <c r="H235" s="2450">
        <v>0</v>
      </c>
    </row>
    <row r="236" spans="1:8" ht="18.75" customHeight="1" x14ac:dyDescent="0.2">
      <c r="A236" s="2449" t="s">
        <v>1704</v>
      </c>
      <c r="B236" s="2449" t="s">
        <v>1557</v>
      </c>
      <c r="C236" s="2449" t="s">
        <v>1541</v>
      </c>
      <c r="D236" s="2449" t="s">
        <v>1563</v>
      </c>
      <c r="E236" s="2450">
        <v>495629000</v>
      </c>
      <c r="F236" s="2450">
        <v>0</v>
      </c>
      <c r="G236" s="2450">
        <v>495629000</v>
      </c>
      <c r="H236" s="2450">
        <v>0</v>
      </c>
    </row>
    <row r="237" spans="1:8" ht="18.75" customHeight="1" x14ac:dyDescent="0.2">
      <c r="A237" s="2449" t="s">
        <v>1704</v>
      </c>
      <c r="B237" s="2449" t="s">
        <v>1557</v>
      </c>
      <c r="C237" s="2449" t="s">
        <v>1541</v>
      </c>
      <c r="D237" s="2449" t="s">
        <v>1886</v>
      </c>
      <c r="E237" s="2450">
        <v>196830000</v>
      </c>
      <c r="F237" s="2450">
        <v>0</v>
      </c>
      <c r="G237" s="2450">
        <v>196830000</v>
      </c>
      <c r="H237" s="2450">
        <v>0</v>
      </c>
    </row>
    <row r="238" spans="1:8" ht="18.75" customHeight="1" x14ac:dyDescent="0.2">
      <c r="A238" s="2449" t="s">
        <v>1704</v>
      </c>
      <c r="B238" s="2449" t="s">
        <v>1557</v>
      </c>
      <c r="C238" s="2449" t="s">
        <v>1541</v>
      </c>
      <c r="D238" s="2449" t="s">
        <v>1572</v>
      </c>
      <c r="E238" s="2450">
        <v>826000</v>
      </c>
      <c r="F238" s="2450">
        <v>0</v>
      </c>
      <c r="G238" s="2450">
        <v>826000</v>
      </c>
      <c r="H238" s="2450">
        <v>0</v>
      </c>
    </row>
    <row r="239" spans="1:8" ht="18.75" customHeight="1" x14ac:dyDescent="0.2">
      <c r="A239" s="2449" t="s">
        <v>1704</v>
      </c>
      <c r="B239" s="2449" t="s">
        <v>1557</v>
      </c>
      <c r="C239" s="2449" t="s">
        <v>1573</v>
      </c>
      <c r="D239" s="2449" t="s">
        <v>1646</v>
      </c>
      <c r="E239" s="2450">
        <v>252800000</v>
      </c>
      <c r="F239" s="2450">
        <v>0</v>
      </c>
      <c r="G239" s="2450">
        <v>252800000</v>
      </c>
      <c r="H239" s="2450">
        <v>0</v>
      </c>
    </row>
    <row r="240" spans="1:8" ht="18.75" customHeight="1" x14ac:dyDescent="0.2">
      <c r="A240" s="2449" t="s">
        <v>1704</v>
      </c>
      <c r="B240" s="2449" t="s">
        <v>1557</v>
      </c>
      <c r="C240" s="2449" t="s">
        <v>1573</v>
      </c>
      <c r="D240" s="2449" t="s">
        <v>1574</v>
      </c>
      <c r="E240" s="2450">
        <v>13000000</v>
      </c>
      <c r="F240" s="2450">
        <v>0</v>
      </c>
      <c r="G240" s="2450">
        <v>13000000</v>
      </c>
      <c r="H240" s="2450">
        <v>0</v>
      </c>
    </row>
    <row r="241" spans="1:8" ht="18.75" customHeight="1" x14ac:dyDescent="0.2">
      <c r="A241" s="2449" t="s">
        <v>1704</v>
      </c>
      <c r="B241" s="2449" t="s">
        <v>1557</v>
      </c>
      <c r="C241" s="2449" t="s">
        <v>1573</v>
      </c>
      <c r="D241" s="2449" t="s">
        <v>1575</v>
      </c>
      <c r="E241" s="2450">
        <v>214000000</v>
      </c>
      <c r="F241" s="2450">
        <v>0</v>
      </c>
      <c r="G241" s="2450">
        <v>214000000</v>
      </c>
      <c r="H241" s="2450">
        <v>0</v>
      </c>
    </row>
    <row r="242" spans="1:8" ht="18.75" customHeight="1" x14ac:dyDescent="0.2">
      <c r="A242" s="2449" t="s">
        <v>1704</v>
      </c>
      <c r="B242" s="2449" t="s">
        <v>1557</v>
      </c>
      <c r="C242" s="2449" t="s">
        <v>1573</v>
      </c>
      <c r="D242" s="2449" t="s">
        <v>1576</v>
      </c>
      <c r="E242" s="2450">
        <v>25800000</v>
      </c>
      <c r="F242" s="2450">
        <v>0</v>
      </c>
      <c r="G242" s="2450">
        <v>25800000</v>
      </c>
      <c r="H242" s="2450">
        <v>0</v>
      </c>
    </row>
    <row r="243" spans="1:8" ht="18.75" customHeight="1" x14ac:dyDescent="0.2">
      <c r="A243" s="2449" t="s">
        <v>1704</v>
      </c>
      <c r="B243" s="2449" t="s">
        <v>1557</v>
      </c>
      <c r="C243" s="2449" t="s">
        <v>1862</v>
      </c>
      <c r="D243" s="2449" t="s">
        <v>1646</v>
      </c>
      <c r="E243" s="2450">
        <v>549406121</v>
      </c>
      <c r="F243" s="2450">
        <v>549406121</v>
      </c>
      <c r="G243" s="2450">
        <v>0</v>
      </c>
      <c r="H243" s="2450">
        <v>0</v>
      </c>
    </row>
    <row r="244" spans="1:8" ht="18.75" customHeight="1" x14ac:dyDescent="0.2">
      <c r="A244" s="2449" t="s">
        <v>1704</v>
      </c>
      <c r="B244" s="2449" t="s">
        <v>1557</v>
      </c>
      <c r="C244" s="2449" t="s">
        <v>1862</v>
      </c>
      <c r="D244" s="2449" t="s">
        <v>1887</v>
      </c>
      <c r="E244" s="2450">
        <v>473776323</v>
      </c>
      <c r="F244" s="2450">
        <v>473776323</v>
      </c>
      <c r="G244" s="2450">
        <v>0</v>
      </c>
      <c r="H244" s="2450">
        <v>0</v>
      </c>
    </row>
    <row r="245" spans="1:8" ht="18.75" customHeight="1" x14ac:dyDescent="0.2">
      <c r="A245" s="2449" t="s">
        <v>1704</v>
      </c>
      <c r="B245" s="2449" t="s">
        <v>1557</v>
      </c>
      <c r="C245" s="2449" t="s">
        <v>1862</v>
      </c>
      <c r="D245" s="2449" t="s">
        <v>1888</v>
      </c>
      <c r="E245" s="2450">
        <v>56452701</v>
      </c>
      <c r="F245" s="2450">
        <v>56452701</v>
      </c>
      <c r="G245" s="2450">
        <v>0</v>
      </c>
      <c r="H245" s="2450">
        <v>0</v>
      </c>
    </row>
    <row r="246" spans="1:8" ht="18.75" customHeight="1" x14ac:dyDescent="0.2">
      <c r="A246" s="2449" t="s">
        <v>1704</v>
      </c>
      <c r="B246" s="2449" t="s">
        <v>1557</v>
      </c>
      <c r="C246" s="2449" t="s">
        <v>1862</v>
      </c>
      <c r="D246" s="2449" t="s">
        <v>1889</v>
      </c>
      <c r="E246" s="2450">
        <v>19177097</v>
      </c>
      <c r="F246" s="2450">
        <v>19177097</v>
      </c>
      <c r="G246" s="2450">
        <v>0</v>
      </c>
      <c r="H246" s="2450">
        <v>0</v>
      </c>
    </row>
    <row r="247" spans="1:8" ht="18.75" customHeight="1" x14ac:dyDescent="0.2">
      <c r="A247" s="2449" t="s">
        <v>1704</v>
      </c>
      <c r="B247" s="2449" t="s">
        <v>1557</v>
      </c>
      <c r="C247" s="2449" t="s">
        <v>1542</v>
      </c>
      <c r="D247" s="2449" t="s">
        <v>1646</v>
      </c>
      <c r="E247" s="2450">
        <v>493464676</v>
      </c>
      <c r="F247" s="2450">
        <v>0</v>
      </c>
      <c r="G247" s="2450">
        <v>493464676</v>
      </c>
      <c r="H247" s="2450">
        <v>0</v>
      </c>
    </row>
    <row r="248" spans="1:8" ht="18.75" customHeight="1" x14ac:dyDescent="0.2">
      <c r="A248" s="2449" t="s">
        <v>1704</v>
      </c>
      <c r="B248" s="2449" t="s">
        <v>1557</v>
      </c>
      <c r="C248" s="2449" t="s">
        <v>1542</v>
      </c>
      <c r="D248" s="2449" t="s">
        <v>1577</v>
      </c>
      <c r="E248" s="2450">
        <v>1957015</v>
      </c>
      <c r="F248" s="2450">
        <v>0</v>
      </c>
      <c r="G248" s="2450">
        <v>1957015</v>
      </c>
      <c r="H248" s="2450">
        <v>0</v>
      </c>
    </row>
    <row r="249" spans="1:8" ht="18.75" customHeight="1" x14ac:dyDescent="0.2">
      <c r="A249" s="2449" t="s">
        <v>1704</v>
      </c>
      <c r="B249" s="2449" t="s">
        <v>1557</v>
      </c>
      <c r="C249" s="2449" t="s">
        <v>1542</v>
      </c>
      <c r="D249" s="2449" t="s">
        <v>1552</v>
      </c>
      <c r="E249" s="2450">
        <v>86959460</v>
      </c>
      <c r="F249" s="2450">
        <v>0</v>
      </c>
      <c r="G249" s="2450">
        <v>86959460</v>
      </c>
      <c r="H249" s="2450">
        <v>0</v>
      </c>
    </row>
    <row r="250" spans="1:8" ht="18.75" customHeight="1" x14ac:dyDescent="0.2">
      <c r="A250" s="2449" t="s">
        <v>1704</v>
      </c>
      <c r="B250" s="2449" t="s">
        <v>1557</v>
      </c>
      <c r="C250" s="2449" t="s">
        <v>1542</v>
      </c>
      <c r="D250" s="2449" t="s">
        <v>1890</v>
      </c>
      <c r="E250" s="2450">
        <v>2193150</v>
      </c>
      <c r="F250" s="2450">
        <v>0</v>
      </c>
      <c r="G250" s="2450">
        <v>2193150</v>
      </c>
      <c r="H250" s="2450">
        <v>0</v>
      </c>
    </row>
    <row r="251" spans="1:8" ht="18.75" customHeight="1" x14ac:dyDescent="0.2">
      <c r="A251" s="2449" t="s">
        <v>1704</v>
      </c>
      <c r="B251" s="2449" t="s">
        <v>1557</v>
      </c>
      <c r="C251" s="2449" t="s">
        <v>1542</v>
      </c>
      <c r="D251" s="2449" t="s">
        <v>1553</v>
      </c>
      <c r="E251" s="2450">
        <v>397471746</v>
      </c>
      <c r="F251" s="2450">
        <v>0</v>
      </c>
      <c r="G251" s="2450">
        <v>397471746</v>
      </c>
      <c r="H251" s="2450">
        <v>0</v>
      </c>
    </row>
    <row r="252" spans="1:8" ht="18.75" customHeight="1" x14ac:dyDescent="0.2">
      <c r="A252" s="2449" t="s">
        <v>1704</v>
      </c>
      <c r="B252" s="2449" t="s">
        <v>1557</v>
      </c>
      <c r="C252" s="2449" t="s">
        <v>1542</v>
      </c>
      <c r="D252" s="2449" t="s">
        <v>1554</v>
      </c>
      <c r="E252" s="2450">
        <v>4883305</v>
      </c>
      <c r="F252" s="2450">
        <v>0</v>
      </c>
      <c r="G252" s="2450">
        <v>4883305</v>
      </c>
      <c r="H252" s="2450">
        <v>0</v>
      </c>
    </row>
    <row r="253" spans="1:8" ht="18.75" customHeight="1" x14ac:dyDescent="0.2">
      <c r="A253" s="2449" t="s">
        <v>1704</v>
      </c>
      <c r="B253" s="2449" t="s">
        <v>1562</v>
      </c>
      <c r="C253" s="2449" t="s">
        <v>1646</v>
      </c>
      <c r="D253" s="2449" t="s">
        <v>1646</v>
      </c>
      <c r="E253" s="2450">
        <v>1427321173</v>
      </c>
      <c r="F253" s="2450">
        <v>43388762</v>
      </c>
      <c r="G253" s="2450">
        <v>1383932411</v>
      </c>
      <c r="H253" s="2450">
        <v>0</v>
      </c>
    </row>
    <row r="254" spans="1:8" ht="18.75" customHeight="1" x14ac:dyDescent="0.2">
      <c r="A254" s="2449" t="s">
        <v>1704</v>
      </c>
      <c r="B254" s="2449" t="s">
        <v>1562</v>
      </c>
      <c r="C254" s="2449" t="s">
        <v>1547</v>
      </c>
      <c r="D254" s="2449" t="s">
        <v>1646</v>
      </c>
      <c r="E254" s="2450">
        <v>158129615</v>
      </c>
      <c r="F254" s="2450">
        <v>0</v>
      </c>
      <c r="G254" s="2450">
        <v>158129615</v>
      </c>
      <c r="H254" s="2450">
        <v>0</v>
      </c>
    </row>
    <row r="255" spans="1:8" ht="18.75" customHeight="1" x14ac:dyDescent="0.2">
      <c r="A255" s="2449" t="s">
        <v>1704</v>
      </c>
      <c r="B255" s="2449" t="s">
        <v>1562</v>
      </c>
      <c r="C255" s="2449" t="s">
        <v>1547</v>
      </c>
      <c r="D255" s="2449" t="s">
        <v>1548</v>
      </c>
      <c r="E255" s="2450">
        <v>158129615</v>
      </c>
      <c r="F255" s="2450">
        <v>0</v>
      </c>
      <c r="G255" s="2450">
        <v>158129615</v>
      </c>
      <c r="H255" s="2450">
        <v>0</v>
      </c>
    </row>
    <row r="256" spans="1:8" ht="18.75" customHeight="1" x14ac:dyDescent="0.2">
      <c r="A256" s="2449" t="s">
        <v>1704</v>
      </c>
      <c r="B256" s="2449" t="s">
        <v>1562</v>
      </c>
      <c r="C256" s="2449" t="s">
        <v>1544</v>
      </c>
      <c r="D256" s="2449" t="s">
        <v>1646</v>
      </c>
      <c r="E256" s="2450">
        <v>1168986635</v>
      </c>
      <c r="F256" s="2450">
        <v>0</v>
      </c>
      <c r="G256" s="2450">
        <v>1168986635</v>
      </c>
      <c r="H256" s="2450">
        <v>0</v>
      </c>
    </row>
    <row r="257" spans="1:8" ht="18.75" customHeight="1" x14ac:dyDescent="0.2">
      <c r="A257" s="2449" t="s">
        <v>1704</v>
      </c>
      <c r="B257" s="2449" t="s">
        <v>1562</v>
      </c>
      <c r="C257" s="2449" t="s">
        <v>1544</v>
      </c>
      <c r="D257" s="2449" t="s">
        <v>1545</v>
      </c>
      <c r="E257" s="2450">
        <v>1168986635</v>
      </c>
      <c r="F257" s="2450">
        <v>0</v>
      </c>
      <c r="G257" s="2450">
        <v>1168986635</v>
      </c>
      <c r="H257" s="2450">
        <v>0</v>
      </c>
    </row>
    <row r="258" spans="1:8" ht="18.75" customHeight="1" x14ac:dyDescent="0.2">
      <c r="A258" s="2449" t="s">
        <v>1704</v>
      </c>
      <c r="B258" s="2449" t="s">
        <v>1562</v>
      </c>
      <c r="C258" s="2449" t="s">
        <v>1541</v>
      </c>
      <c r="D258" s="2449" t="s">
        <v>1646</v>
      </c>
      <c r="E258" s="2450">
        <v>275448</v>
      </c>
      <c r="F258" s="2450">
        <v>0</v>
      </c>
      <c r="G258" s="2450">
        <v>275448</v>
      </c>
      <c r="H258" s="2450">
        <v>0</v>
      </c>
    </row>
    <row r="259" spans="1:8" ht="18.75" customHeight="1" x14ac:dyDescent="0.2">
      <c r="A259" s="2449" t="s">
        <v>1704</v>
      </c>
      <c r="B259" s="2449" t="s">
        <v>1562</v>
      </c>
      <c r="C259" s="2449" t="s">
        <v>1541</v>
      </c>
      <c r="D259" s="2449" t="s">
        <v>1572</v>
      </c>
      <c r="E259" s="2450">
        <v>275448</v>
      </c>
      <c r="F259" s="2450">
        <v>0</v>
      </c>
      <c r="G259" s="2450">
        <v>275448</v>
      </c>
      <c r="H259" s="2450">
        <v>0</v>
      </c>
    </row>
    <row r="260" spans="1:8" ht="18.75" customHeight="1" x14ac:dyDescent="0.2">
      <c r="A260" s="2449" t="s">
        <v>1704</v>
      </c>
      <c r="B260" s="2449" t="s">
        <v>1562</v>
      </c>
      <c r="C260" s="2449" t="s">
        <v>1573</v>
      </c>
      <c r="D260" s="2449" t="s">
        <v>1646</v>
      </c>
      <c r="E260" s="2450">
        <v>43000000</v>
      </c>
      <c r="F260" s="2450">
        <v>0</v>
      </c>
      <c r="G260" s="2450">
        <v>43000000</v>
      </c>
      <c r="H260" s="2450">
        <v>0</v>
      </c>
    </row>
    <row r="261" spans="1:8" ht="18.75" customHeight="1" x14ac:dyDescent="0.2">
      <c r="A261" s="2449" t="s">
        <v>1704</v>
      </c>
      <c r="B261" s="2449" t="s">
        <v>1562</v>
      </c>
      <c r="C261" s="2449" t="s">
        <v>1573</v>
      </c>
      <c r="D261" s="2449" t="s">
        <v>1574</v>
      </c>
      <c r="E261" s="2450">
        <v>3000000</v>
      </c>
      <c r="F261" s="2450">
        <v>0</v>
      </c>
      <c r="G261" s="2450">
        <v>3000000</v>
      </c>
      <c r="H261" s="2450">
        <v>0</v>
      </c>
    </row>
    <row r="262" spans="1:8" ht="18.75" customHeight="1" x14ac:dyDescent="0.2">
      <c r="A262" s="2449" t="s">
        <v>1704</v>
      </c>
      <c r="B262" s="2449" t="s">
        <v>1562</v>
      </c>
      <c r="C262" s="2449" t="s">
        <v>1573</v>
      </c>
      <c r="D262" s="2449" t="s">
        <v>1575</v>
      </c>
      <c r="E262" s="2450">
        <v>40000000</v>
      </c>
      <c r="F262" s="2450">
        <v>0</v>
      </c>
      <c r="G262" s="2450">
        <v>40000000</v>
      </c>
      <c r="H262" s="2450">
        <v>0</v>
      </c>
    </row>
    <row r="263" spans="1:8" ht="18.75" customHeight="1" x14ac:dyDescent="0.2">
      <c r="A263" s="2449" t="s">
        <v>1704</v>
      </c>
      <c r="B263" s="2449" t="s">
        <v>1562</v>
      </c>
      <c r="C263" s="2449" t="s">
        <v>1862</v>
      </c>
      <c r="D263" s="2449" t="s">
        <v>1646</v>
      </c>
      <c r="E263" s="2450">
        <v>43388762</v>
      </c>
      <c r="F263" s="2450">
        <v>43388762</v>
      </c>
      <c r="G263" s="2450">
        <v>0</v>
      </c>
      <c r="H263" s="2450">
        <v>0</v>
      </c>
    </row>
    <row r="264" spans="1:8" ht="18.75" customHeight="1" x14ac:dyDescent="0.2">
      <c r="A264" s="2449" t="s">
        <v>1704</v>
      </c>
      <c r="B264" s="2449" t="s">
        <v>1562</v>
      </c>
      <c r="C264" s="2449" t="s">
        <v>1862</v>
      </c>
      <c r="D264" s="2449" t="s">
        <v>1887</v>
      </c>
      <c r="E264" s="2450">
        <v>43388762</v>
      </c>
      <c r="F264" s="2450">
        <v>43388762</v>
      </c>
      <c r="G264" s="2450">
        <v>0</v>
      </c>
      <c r="H264" s="2450">
        <v>0</v>
      </c>
    </row>
    <row r="265" spans="1:8" ht="18.75" customHeight="1" x14ac:dyDescent="0.2">
      <c r="A265" s="2449" t="s">
        <v>1704</v>
      </c>
      <c r="B265" s="2449" t="s">
        <v>1562</v>
      </c>
      <c r="C265" s="2449" t="s">
        <v>1542</v>
      </c>
      <c r="D265" s="2449" t="s">
        <v>1646</v>
      </c>
      <c r="E265" s="2450">
        <v>13540713</v>
      </c>
      <c r="F265" s="2450">
        <v>0</v>
      </c>
      <c r="G265" s="2450">
        <v>13540713</v>
      </c>
      <c r="H265" s="2450">
        <v>0</v>
      </c>
    </row>
    <row r="266" spans="1:8" ht="18.75" customHeight="1" x14ac:dyDescent="0.2">
      <c r="A266" s="2449" t="s">
        <v>1704</v>
      </c>
      <c r="B266" s="2449" t="s">
        <v>1562</v>
      </c>
      <c r="C266" s="2449" t="s">
        <v>1542</v>
      </c>
      <c r="D266" s="2449" t="s">
        <v>1577</v>
      </c>
      <c r="E266" s="2450">
        <v>159507</v>
      </c>
      <c r="F266" s="2450">
        <v>0</v>
      </c>
      <c r="G266" s="2450">
        <v>159507</v>
      </c>
      <c r="H266" s="2450">
        <v>0</v>
      </c>
    </row>
    <row r="267" spans="1:8" ht="18.75" customHeight="1" x14ac:dyDescent="0.2">
      <c r="A267" s="2449" t="s">
        <v>1704</v>
      </c>
      <c r="B267" s="2449" t="s">
        <v>1562</v>
      </c>
      <c r="C267" s="2449" t="s">
        <v>1542</v>
      </c>
      <c r="D267" s="2449" t="s">
        <v>1552</v>
      </c>
      <c r="E267" s="2450">
        <v>1306719</v>
      </c>
      <c r="F267" s="2450">
        <v>0</v>
      </c>
      <c r="G267" s="2450">
        <v>1306719</v>
      </c>
      <c r="H267" s="2450">
        <v>0</v>
      </c>
    </row>
    <row r="268" spans="1:8" ht="18.75" customHeight="1" x14ac:dyDescent="0.2">
      <c r="A268" s="2449" t="s">
        <v>1704</v>
      </c>
      <c r="B268" s="2449" t="s">
        <v>1562</v>
      </c>
      <c r="C268" s="2449" t="s">
        <v>1542</v>
      </c>
      <c r="D268" s="2449" t="s">
        <v>1553</v>
      </c>
      <c r="E268" s="2450">
        <v>11242087</v>
      </c>
      <c r="F268" s="2450">
        <v>0</v>
      </c>
      <c r="G268" s="2450">
        <v>11242087</v>
      </c>
      <c r="H268" s="2450">
        <v>0</v>
      </c>
    </row>
    <row r="269" spans="1:8" ht="18.75" customHeight="1" x14ac:dyDescent="0.2">
      <c r="A269" s="2449" t="s">
        <v>1704</v>
      </c>
      <c r="B269" s="2449" t="s">
        <v>1562</v>
      </c>
      <c r="C269" s="2449" t="s">
        <v>1542</v>
      </c>
      <c r="D269" s="2449" t="s">
        <v>1554</v>
      </c>
      <c r="E269" s="2450">
        <v>832400</v>
      </c>
      <c r="F269" s="2450">
        <v>0</v>
      </c>
      <c r="G269" s="2450">
        <v>832400</v>
      </c>
      <c r="H269" s="2450">
        <v>0</v>
      </c>
    </row>
    <row r="270" spans="1:8" ht="18.75" customHeight="1" x14ac:dyDescent="0.2">
      <c r="A270" s="2449" t="s">
        <v>1704</v>
      </c>
      <c r="B270" s="2449" t="s">
        <v>1564</v>
      </c>
      <c r="C270" s="2449" t="s">
        <v>1646</v>
      </c>
      <c r="D270" s="2449" t="s">
        <v>1646</v>
      </c>
      <c r="E270" s="2450">
        <v>42814898127</v>
      </c>
      <c r="F270" s="2450">
        <v>54638492</v>
      </c>
      <c r="G270" s="2450">
        <v>42754132435</v>
      </c>
      <c r="H270" s="2450">
        <v>6127200</v>
      </c>
    </row>
    <row r="271" spans="1:8" ht="18.75" customHeight="1" x14ac:dyDescent="0.2">
      <c r="A271" s="2449" t="s">
        <v>1704</v>
      </c>
      <c r="B271" s="2449" t="s">
        <v>1564</v>
      </c>
      <c r="C271" s="2449" t="s">
        <v>1565</v>
      </c>
      <c r="D271" s="2449" t="s">
        <v>1646</v>
      </c>
      <c r="E271" s="2450">
        <v>8758883084</v>
      </c>
      <c r="F271" s="2450">
        <v>0</v>
      </c>
      <c r="G271" s="2450">
        <v>8758883084</v>
      </c>
      <c r="H271" s="2450">
        <v>0</v>
      </c>
    </row>
    <row r="272" spans="1:8" ht="18.75" customHeight="1" x14ac:dyDescent="0.2">
      <c r="A272" s="2449" t="s">
        <v>1704</v>
      </c>
      <c r="B272" s="2449" t="s">
        <v>1564</v>
      </c>
      <c r="C272" s="2449" t="s">
        <v>1565</v>
      </c>
      <c r="D272" s="2449" t="s">
        <v>1566</v>
      </c>
      <c r="E272" s="2450">
        <v>-77362442</v>
      </c>
      <c r="F272" s="2450">
        <v>0</v>
      </c>
      <c r="G272" s="2450">
        <v>-77362442</v>
      </c>
      <c r="H272" s="2450">
        <v>0</v>
      </c>
    </row>
    <row r="273" spans="1:8" ht="18.75" customHeight="1" x14ac:dyDescent="0.2">
      <c r="A273" s="2449" t="s">
        <v>1704</v>
      </c>
      <c r="B273" s="2449" t="s">
        <v>1564</v>
      </c>
      <c r="C273" s="2449" t="s">
        <v>1565</v>
      </c>
      <c r="D273" s="2449" t="s">
        <v>1567</v>
      </c>
      <c r="E273" s="2450">
        <v>3461332372</v>
      </c>
      <c r="F273" s="2450">
        <v>0</v>
      </c>
      <c r="G273" s="2450">
        <v>3461332372</v>
      </c>
      <c r="H273" s="2450">
        <v>0</v>
      </c>
    </row>
    <row r="274" spans="1:8" ht="18.75" customHeight="1" x14ac:dyDescent="0.2">
      <c r="A274" s="2449" t="s">
        <v>1704</v>
      </c>
      <c r="B274" s="2449" t="s">
        <v>1564</v>
      </c>
      <c r="C274" s="2449" t="s">
        <v>1565</v>
      </c>
      <c r="D274" s="2449" t="s">
        <v>1891</v>
      </c>
      <c r="E274" s="2450">
        <v>131487427</v>
      </c>
      <c r="F274" s="2450">
        <v>0</v>
      </c>
      <c r="G274" s="2450">
        <v>131487427</v>
      </c>
      <c r="H274" s="2450">
        <v>0</v>
      </c>
    </row>
    <row r="275" spans="1:8" ht="18.75" customHeight="1" x14ac:dyDescent="0.2">
      <c r="A275" s="2449" t="s">
        <v>1704</v>
      </c>
      <c r="B275" s="2449" t="s">
        <v>1564</v>
      </c>
      <c r="C275" s="2449" t="s">
        <v>1565</v>
      </c>
      <c r="D275" s="2449" t="s">
        <v>691</v>
      </c>
      <c r="E275" s="2450">
        <v>4807951935</v>
      </c>
      <c r="F275" s="2450">
        <v>0</v>
      </c>
      <c r="G275" s="2450">
        <v>4807951935</v>
      </c>
      <c r="H275" s="2450">
        <v>0</v>
      </c>
    </row>
    <row r="276" spans="1:8" ht="18.75" customHeight="1" x14ac:dyDescent="0.2">
      <c r="A276" s="2449" t="s">
        <v>1704</v>
      </c>
      <c r="B276" s="2449" t="s">
        <v>1564</v>
      </c>
      <c r="C276" s="2449" t="s">
        <v>1565</v>
      </c>
      <c r="D276" s="2449" t="s">
        <v>692</v>
      </c>
      <c r="E276" s="2450">
        <v>56225800</v>
      </c>
      <c r="F276" s="2450">
        <v>0</v>
      </c>
      <c r="G276" s="2450">
        <v>56225800</v>
      </c>
      <c r="H276" s="2450">
        <v>0</v>
      </c>
    </row>
    <row r="277" spans="1:8" ht="18.75" customHeight="1" x14ac:dyDescent="0.2">
      <c r="A277" s="2449" t="s">
        <v>1704</v>
      </c>
      <c r="B277" s="2449" t="s">
        <v>1564</v>
      </c>
      <c r="C277" s="2449" t="s">
        <v>1565</v>
      </c>
      <c r="D277" s="2449" t="s">
        <v>1892</v>
      </c>
      <c r="E277" s="2450">
        <v>379247992</v>
      </c>
      <c r="F277" s="2450">
        <v>0</v>
      </c>
      <c r="G277" s="2450">
        <v>379247992</v>
      </c>
      <c r="H277" s="2450">
        <v>0</v>
      </c>
    </row>
    <row r="278" spans="1:8" ht="18.75" customHeight="1" x14ac:dyDescent="0.2">
      <c r="A278" s="2449" t="s">
        <v>1704</v>
      </c>
      <c r="B278" s="2449" t="s">
        <v>1564</v>
      </c>
      <c r="C278" s="2449" t="s">
        <v>1893</v>
      </c>
      <c r="D278" s="2449" t="s">
        <v>1646</v>
      </c>
      <c r="E278" s="2450">
        <v>14635212096</v>
      </c>
      <c r="F278" s="2450">
        <v>0</v>
      </c>
      <c r="G278" s="2450">
        <v>14635212096</v>
      </c>
      <c r="H278" s="2450">
        <v>0</v>
      </c>
    </row>
    <row r="279" spans="1:8" ht="18.75" customHeight="1" x14ac:dyDescent="0.2">
      <c r="A279" s="2449" t="s">
        <v>1704</v>
      </c>
      <c r="B279" s="2449" t="s">
        <v>1564</v>
      </c>
      <c r="C279" s="2449" t="s">
        <v>1893</v>
      </c>
      <c r="D279" s="2449" t="s">
        <v>1894</v>
      </c>
      <c r="E279" s="2450">
        <v>14563068348</v>
      </c>
      <c r="F279" s="2450">
        <v>0</v>
      </c>
      <c r="G279" s="2450">
        <v>14563068348</v>
      </c>
      <c r="H279" s="2450">
        <v>0</v>
      </c>
    </row>
    <row r="280" spans="1:8" ht="18.75" customHeight="1" x14ac:dyDescent="0.2">
      <c r="A280" s="2449" t="s">
        <v>1704</v>
      </c>
      <c r="B280" s="2449" t="s">
        <v>1564</v>
      </c>
      <c r="C280" s="2449" t="s">
        <v>1893</v>
      </c>
      <c r="D280" s="2449" t="s">
        <v>1895</v>
      </c>
      <c r="E280" s="2450">
        <v>72143748</v>
      </c>
      <c r="F280" s="2450">
        <v>0</v>
      </c>
      <c r="G280" s="2450">
        <v>72143748</v>
      </c>
      <c r="H280" s="2450">
        <v>0</v>
      </c>
    </row>
    <row r="281" spans="1:8" ht="18.75" customHeight="1" x14ac:dyDescent="0.2">
      <c r="A281" s="2449" t="s">
        <v>1704</v>
      </c>
      <c r="B281" s="2449" t="s">
        <v>1564</v>
      </c>
      <c r="C281" s="2449" t="s">
        <v>1558</v>
      </c>
      <c r="D281" s="2449" t="s">
        <v>1646</v>
      </c>
      <c r="E281" s="2450">
        <v>1999568</v>
      </c>
      <c r="F281" s="2450">
        <v>0</v>
      </c>
      <c r="G281" s="2450">
        <v>1999568</v>
      </c>
      <c r="H281" s="2450">
        <v>0</v>
      </c>
    </row>
    <row r="282" spans="1:8" ht="18.75" customHeight="1" x14ac:dyDescent="0.2">
      <c r="A282" s="2449" t="s">
        <v>1704</v>
      </c>
      <c r="B282" s="2449" t="s">
        <v>1564</v>
      </c>
      <c r="C282" s="2449" t="s">
        <v>1558</v>
      </c>
      <c r="D282" s="2449" t="s">
        <v>1559</v>
      </c>
      <c r="E282" s="2450">
        <v>1999568</v>
      </c>
      <c r="F282" s="2450">
        <v>0</v>
      </c>
      <c r="G282" s="2450">
        <v>1999568</v>
      </c>
      <c r="H282" s="2450">
        <v>0</v>
      </c>
    </row>
    <row r="283" spans="1:8" ht="18.75" customHeight="1" x14ac:dyDescent="0.2">
      <c r="A283" s="2449" t="s">
        <v>1704</v>
      </c>
      <c r="B283" s="2449" t="s">
        <v>1564</v>
      </c>
      <c r="C283" s="2449" t="s">
        <v>1543</v>
      </c>
      <c r="D283" s="2449" t="s">
        <v>1646</v>
      </c>
      <c r="E283" s="2450">
        <v>287261727</v>
      </c>
      <c r="F283" s="2450">
        <v>0</v>
      </c>
      <c r="G283" s="2450">
        <v>287261727</v>
      </c>
      <c r="H283" s="2450">
        <v>0</v>
      </c>
    </row>
    <row r="284" spans="1:8" ht="18.75" customHeight="1" x14ac:dyDescent="0.2">
      <c r="A284" s="2449" t="s">
        <v>1704</v>
      </c>
      <c r="B284" s="2449" t="s">
        <v>1564</v>
      </c>
      <c r="C284" s="2449" t="s">
        <v>1543</v>
      </c>
      <c r="D284" s="2449" t="s">
        <v>1568</v>
      </c>
      <c r="E284" s="2450">
        <v>24466308</v>
      </c>
      <c r="F284" s="2450">
        <v>0</v>
      </c>
      <c r="G284" s="2450">
        <v>24466308</v>
      </c>
      <c r="H284" s="2450">
        <v>0</v>
      </c>
    </row>
    <row r="285" spans="1:8" ht="18.75" customHeight="1" x14ac:dyDescent="0.2">
      <c r="A285" s="2449" t="s">
        <v>1704</v>
      </c>
      <c r="B285" s="2449" t="s">
        <v>1564</v>
      </c>
      <c r="C285" s="2449" t="s">
        <v>1543</v>
      </c>
      <c r="D285" s="2449" t="s">
        <v>1884</v>
      </c>
      <c r="E285" s="2450">
        <v>261671499</v>
      </c>
      <c r="F285" s="2450">
        <v>0</v>
      </c>
      <c r="G285" s="2450">
        <v>261671499</v>
      </c>
      <c r="H285" s="2450">
        <v>0</v>
      </c>
    </row>
    <row r="286" spans="1:8" ht="18.75" customHeight="1" x14ac:dyDescent="0.2">
      <c r="A286" s="2449" t="s">
        <v>1704</v>
      </c>
      <c r="B286" s="2449" t="s">
        <v>1564</v>
      </c>
      <c r="C286" s="2449" t="s">
        <v>1543</v>
      </c>
      <c r="D286" s="2449" t="s">
        <v>1885</v>
      </c>
      <c r="E286" s="2450">
        <v>1123920</v>
      </c>
      <c r="F286" s="2450">
        <v>0</v>
      </c>
      <c r="G286" s="2450">
        <v>1123920</v>
      </c>
      <c r="H286" s="2450">
        <v>0</v>
      </c>
    </row>
    <row r="287" spans="1:8" ht="18.75" customHeight="1" x14ac:dyDescent="0.2">
      <c r="A287" s="2449" t="s">
        <v>1704</v>
      </c>
      <c r="B287" s="2449" t="s">
        <v>1564</v>
      </c>
      <c r="C287" s="2449" t="s">
        <v>1544</v>
      </c>
      <c r="D287" s="2449" t="s">
        <v>1646</v>
      </c>
      <c r="E287" s="2450">
        <v>7059661852</v>
      </c>
      <c r="F287" s="2450">
        <v>0</v>
      </c>
      <c r="G287" s="2450">
        <v>7059661852</v>
      </c>
      <c r="H287" s="2450">
        <v>0</v>
      </c>
    </row>
    <row r="288" spans="1:8" ht="18.75" customHeight="1" x14ac:dyDescent="0.2">
      <c r="A288" s="2449" t="s">
        <v>1704</v>
      </c>
      <c r="B288" s="2449" t="s">
        <v>1564</v>
      </c>
      <c r="C288" s="2449" t="s">
        <v>1544</v>
      </c>
      <c r="D288" s="2449" t="s">
        <v>1545</v>
      </c>
      <c r="E288" s="2450">
        <v>7059661852</v>
      </c>
      <c r="F288" s="2450">
        <v>0</v>
      </c>
      <c r="G288" s="2450">
        <v>7059661852</v>
      </c>
      <c r="H288" s="2450">
        <v>0</v>
      </c>
    </row>
    <row r="289" spans="1:8" ht="18.75" customHeight="1" x14ac:dyDescent="0.2">
      <c r="A289" s="2449" t="s">
        <v>1704</v>
      </c>
      <c r="B289" s="2449" t="s">
        <v>1564</v>
      </c>
      <c r="C289" s="2449" t="s">
        <v>1569</v>
      </c>
      <c r="D289" s="2449" t="s">
        <v>1646</v>
      </c>
      <c r="E289" s="2450">
        <v>134928985</v>
      </c>
      <c r="F289" s="2450">
        <v>0</v>
      </c>
      <c r="G289" s="2450">
        <v>134928985</v>
      </c>
      <c r="H289" s="2450">
        <v>0</v>
      </c>
    </row>
    <row r="290" spans="1:8" ht="18.75" customHeight="1" x14ac:dyDescent="0.2">
      <c r="A290" s="2449" t="s">
        <v>1704</v>
      </c>
      <c r="B290" s="2449" t="s">
        <v>1564</v>
      </c>
      <c r="C290" s="2449" t="s">
        <v>1569</v>
      </c>
      <c r="D290" s="2449" t="s">
        <v>1896</v>
      </c>
      <c r="E290" s="2450">
        <v>33639715</v>
      </c>
      <c r="F290" s="2450">
        <v>0</v>
      </c>
      <c r="G290" s="2450">
        <v>33639715</v>
      </c>
      <c r="H290" s="2450">
        <v>0</v>
      </c>
    </row>
    <row r="291" spans="1:8" ht="18.75" customHeight="1" x14ac:dyDescent="0.2">
      <c r="A291" s="2449" t="s">
        <v>1704</v>
      </c>
      <c r="B291" s="2449" t="s">
        <v>1564</v>
      </c>
      <c r="C291" s="2449" t="s">
        <v>1569</v>
      </c>
      <c r="D291" s="2449" t="s">
        <v>1570</v>
      </c>
      <c r="E291" s="2450">
        <v>101289270</v>
      </c>
      <c r="F291" s="2450">
        <v>0</v>
      </c>
      <c r="G291" s="2450">
        <v>101289270</v>
      </c>
      <c r="H291" s="2450">
        <v>0</v>
      </c>
    </row>
    <row r="292" spans="1:8" ht="18.75" customHeight="1" x14ac:dyDescent="0.2">
      <c r="A292" s="2449" t="s">
        <v>1704</v>
      </c>
      <c r="B292" s="2449" t="s">
        <v>1564</v>
      </c>
      <c r="C292" s="2449" t="s">
        <v>1897</v>
      </c>
      <c r="D292" s="2449" t="s">
        <v>1646</v>
      </c>
      <c r="E292" s="2450">
        <v>54223589</v>
      </c>
      <c r="F292" s="2450">
        <v>0</v>
      </c>
      <c r="G292" s="2450">
        <v>54223589</v>
      </c>
      <c r="H292" s="2450">
        <v>0</v>
      </c>
    </row>
    <row r="293" spans="1:8" ht="18.75" customHeight="1" x14ac:dyDescent="0.2">
      <c r="A293" s="2449" t="s">
        <v>1704</v>
      </c>
      <c r="B293" s="2449" t="s">
        <v>1564</v>
      </c>
      <c r="C293" s="2449" t="s">
        <v>1897</v>
      </c>
      <c r="D293" s="2449" t="s">
        <v>1898</v>
      </c>
      <c r="E293" s="2450">
        <v>54223589</v>
      </c>
      <c r="F293" s="2450">
        <v>0</v>
      </c>
      <c r="G293" s="2450">
        <v>54223589</v>
      </c>
      <c r="H293" s="2450">
        <v>0</v>
      </c>
    </row>
    <row r="294" spans="1:8" ht="18.75" customHeight="1" x14ac:dyDescent="0.2">
      <c r="A294" s="2449" t="s">
        <v>1704</v>
      </c>
      <c r="B294" s="2449" t="s">
        <v>1564</v>
      </c>
      <c r="C294" s="2449" t="s">
        <v>1560</v>
      </c>
      <c r="D294" s="2449" t="s">
        <v>1646</v>
      </c>
      <c r="E294" s="2450">
        <v>1346647</v>
      </c>
      <c r="F294" s="2450">
        <v>0</v>
      </c>
      <c r="G294" s="2450">
        <v>1346647</v>
      </c>
      <c r="H294" s="2450">
        <v>0</v>
      </c>
    </row>
    <row r="295" spans="1:8" ht="18.75" customHeight="1" x14ac:dyDescent="0.2">
      <c r="A295" s="2449" t="s">
        <v>1704</v>
      </c>
      <c r="B295" s="2449" t="s">
        <v>1564</v>
      </c>
      <c r="C295" s="2449" t="s">
        <v>1560</v>
      </c>
      <c r="D295" s="2449" t="s">
        <v>1561</v>
      </c>
      <c r="E295" s="2450">
        <v>1346647</v>
      </c>
      <c r="F295" s="2450">
        <v>0</v>
      </c>
      <c r="G295" s="2450">
        <v>1346647</v>
      </c>
      <c r="H295" s="2450">
        <v>0</v>
      </c>
    </row>
    <row r="296" spans="1:8" ht="18.75" customHeight="1" x14ac:dyDescent="0.2">
      <c r="A296" s="2449" t="s">
        <v>1704</v>
      </c>
      <c r="B296" s="2449" t="s">
        <v>1564</v>
      </c>
      <c r="C296" s="2449" t="s">
        <v>1541</v>
      </c>
      <c r="D296" s="2449" t="s">
        <v>1646</v>
      </c>
      <c r="E296" s="2450">
        <v>11089369231</v>
      </c>
      <c r="F296" s="2450">
        <v>0</v>
      </c>
      <c r="G296" s="2450">
        <v>11089369231</v>
      </c>
      <c r="H296" s="2450">
        <v>0</v>
      </c>
    </row>
    <row r="297" spans="1:8" ht="18.75" customHeight="1" x14ac:dyDescent="0.2">
      <c r="A297" s="2449" t="s">
        <v>1704</v>
      </c>
      <c r="B297" s="2449" t="s">
        <v>1564</v>
      </c>
      <c r="C297" s="2449" t="s">
        <v>1541</v>
      </c>
      <c r="D297" s="2449" t="s">
        <v>1571</v>
      </c>
      <c r="E297" s="2450">
        <v>1343370811</v>
      </c>
      <c r="F297" s="2450">
        <v>0</v>
      </c>
      <c r="G297" s="2450">
        <v>1343370811</v>
      </c>
      <c r="H297" s="2450">
        <v>0</v>
      </c>
    </row>
    <row r="298" spans="1:8" ht="18.75" customHeight="1" x14ac:dyDescent="0.2">
      <c r="A298" s="2449" t="s">
        <v>1704</v>
      </c>
      <c r="B298" s="2449" t="s">
        <v>1564</v>
      </c>
      <c r="C298" s="2449" t="s">
        <v>1541</v>
      </c>
      <c r="D298" s="2449" t="s">
        <v>1563</v>
      </c>
      <c r="E298" s="2450">
        <v>8544309718</v>
      </c>
      <c r="F298" s="2450">
        <v>0</v>
      </c>
      <c r="G298" s="2450">
        <v>8544309718</v>
      </c>
      <c r="H298" s="2450">
        <v>0</v>
      </c>
    </row>
    <row r="299" spans="1:8" ht="18.75" customHeight="1" x14ac:dyDescent="0.2">
      <c r="A299" s="2449" t="s">
        <v>1704</v>
      </c>
      <c r="B299" s="2449" t="s">
        <v>1564</v>
      </c>
      <c r="C299" s="2449" t="s">
        <v>1541</v>
      </c>
      <c r="D299" s="2449" t="s">
        <v>1886</v>
      </c>
      <c r="E299" s="2450">
        <v>11600000</v>
      </c>
      <c r="F299" s="2450">
        <v>0</v>
      </c>
      <c r="G299" s="2450">
        <v>11600000</v>
      </c>
      <c r="H299" s="2450">
        <v>0</v>
      </c>
    </row>
    <row r="300" spans="1:8" ht="18.75" customHeight="1" x14ac:dyDescent="0.2">
      <c r="A300" s="2449" t="s">
        <v>1704</v>
      </c>
      <c r="B300" s="2449" t="s">
        <v>1564</v>
      </c>
      <c r="C300" s="2449" t="s">
        <v>1541</v>
      </c>
      <c r="D300" s="2449" t="s">
        <v>1572</v>
      </c>
      <c r="E300" s="2450">
        <v>1190088702</v>
      </c>
      <c r="F300" s="2450">
        <v>0</v>
      </c>
      <c r="G300" s="2450">
        <v>1190088702</v>
      </c>
      <c r="H300" s="2450">
        <v>0</v>
      </c>
    </row>
    <row r="301" spans="1:8" ht="18.75" customHeight="1" x14ac:dyDescent="0.2">
      <c r="A301" s="2449" t="s">
        <v>1704</v>
      </c>
      <c r="B301" s="2449" t="s">
        <v>1564</v>
      </c>
      <c r="C301" s="2449" t="s">
        <v>1573</v>
      </c>
      <c r="D301" s="2449" t="s">
        <v>1646</v>
      </c>
      <c r="E301" s="2450">
        <v>326900000</v>
      </c>
      <c r="F301" s="2450">
        <v>0</v>
      </c>
      <c r="G301" s="2450">
        <v>326900000</v>
      </c>
      <c r="H301" s="2450">
        <v>0</v>
      </c>
    </row>
    <row r="302" spans="1:8" ht="18.75" customHeight="1" x14ac:dyDescent="0.2">
      <c r="A302" s="2449" t="s">
        <v>1704</v>
      </c>
      <c r="B302" s="2449" t="s">
        <v>1564</v>
      </c>
      <c r="C302" s="2449" t="s">
        <v>1573</v>
      </c>
      <c r="D302" s="2449" t="s">
        <v>1574</v>
      </c>
      <c r="E302" s="2450">
        <v>129800000</v>
      </c>
      <c r="F302" s="2450">
        <v>0</v>
      </c>
      <c r="G302" s="2450">
        <v>129800000</v>
      </c>
      <c r="H302" s="2450">
        <v>0</v>
      </c>
    </row>
    <row r="303" spans="1:8" ht="18.75" customHeight="1" x14ac:dyDescent="0.2">
      <c r="A303" s="2449" t="s">
        <v>1704</v>
      </c>
      <c r="B303" s="2449" t="s">
        <v>1564</v>
      </c>
      <c r="C303" s="2449" t="s">
        <v>1573</v>
      </c>
      <c r="D303" s="2449" t="s">
        <v>1575</v>
      </c>
      <c r="E303" s="2450">
        <v>44100000</v>
      </c>
      <c r="F303" s="2450">
        <v>0</v>
      </c>
      <c r="G303" s="2450">
        <v>44100000</v>
      </c>
      <c r="H303" s="2450">
        <v>0</v>
      </c>
    </row>
    <row r="304" spans="1:8" ht="18.75" customHeight="1" x14ac:dyDescent="0.2">
      <c r="A304" s="2449" t="s">
        <v>1704</v>
      </c>
      <c r="B304" s="2449" t="s">
        <v>1564</v>
      </c>
      <c r="C304" s="2449" t="s">
        <v>1573</v>
      </c>
      <c r="D304" s="2449" t="s">
        <v>1576</v>
      </c>
      <c r="E304" s="2450">
        <v>153000000</v>
      </c>
      <c r="F304" s="2450">
        <v>0</v>
      </c>
      <c r="G304" s="2450">
        <v>153000000</v>
      </c>
      <c r="H304" s="2450">
        <v>0</v>
      </c>
    </row>
    <row r="305" spans="1:8" ht="18.75" customHeight="1" x14ac:dyDescent="0.2">
      <c r="A305" s="2449" t="s">
        <v>1704</v>
      </c>
      <c r="B305" s="2449" t="s">
        <v>1564</v>
      </c>
      <c r="C305" s="2449" t="s">
        <v>1899</v>
      </c>
      <c r="D305" s="2449" t="s">
        <v>1646</v>
      </c>
      <c r="E305" s="2450">
        <v>79200000</v>
      </c>
      <c r="F305" s="2450">
        <v>0</v>
      </c>
      <c r="G305" s="2450">
        <v>79200000</v>
      </c>
      <c r="H305" s="2450">
        <v>0</v>
      </c>
    </row>
    <row r="306" spans="1:8" ht="18.75" customHeight="1" x14ac:dyDescent="0.2">
      <c r="A306" s="2449" t="s">
        <v>1704</v>
      </c>
      <c r="B306" s="2449" t="s">
        <v>1564</v>
      </c>
      <c r="C306" s="2449" t="s">
        <v>1899</v>
      </c>
      <c r="D306" s="2449" t="s">
        <v>1900</v>
      </c>
      <c r="E306" s="2450">
        <v>79200000</v>
      </c>
      <c r="F306" s="2450">
        <v>0</v>
      </c>
      <c r="G306" s="2450">
        <v>79200000</v>
      </c>
      <c r="H306" s="2450">
        <v>0</v>
      </c>
    </row>
    <row r="307" spans="1:8" ht="18.75" customHeight="1" x14ac:dyDescent="0.2">
      <c r="A307" s="2449" t="s">
        <v>1704</v>
      </c>
      <c r="B307" s="2449" t="s">
        <v>1564</v>
      </c>
      <c r="C307" s="2449" t="s">
        <v>1862</v>
      </c>
      <c r="D307" s="2449" t="s">
        <v>1646</v>
      </c>
      <c r="E307" s="2450">
        <v>54600692</v>
      </c>
      <c r="F307" s="2450">
        <v>54600692</v>
      </c>
      <c r="G307" s="2450">
        <v>0</v>
      </c>
      <c r="H307" s="2450">
        <v>0</v>
      </c>
    </row>
    <row r="308" spans="1:8" ht="18.75" customHeight="1" x14ac:dyDescent="0.2">
      <c r="A308" s="2449" t="s">
        <v>1704</v>
      </c>
      <c r="B308" s="2449" t="s">
        <v>1564</v>
      </c>
      <c r="C308" s="2449" t="s">
        <v>1862</v>
      </c>
      <c r="D308" s="2449" t="s">
        <v>1887</v>
      </c>
      <c r="E308" s="2450">
        <v>52217533</v>
      </c>
      <c r="F308" s="2450">
        <v>52217533</v>
      </c>
      <c r="G308" s="2450">
        <v>0</v>
      </c>
      <c r="H308" s="2450">
        <v>0</v>
      </c>
    </row>
    <row r="309" spans="1:8" ht="18.75" customHeight="1" x14ac:dyDescent="0.2">
      <c r="A309" s="2449" t="s">
        <v>1704</v>
      </c>
      <c r="B309" s="2449" t="s">
        <v>1564</v>
      </c>
      <c r="C309" s="2449" t="s">
        <v>1862</v>
      </c>
      <c r="D309" s="2449" t="s">
        <v>1889</v>
      </c>
      <c r="E309" s="2450">
        <v>2383159</v>
      </c>
      <c r="F309" s="2450">
        <v>2383159</v>
      </c>
      <c r="G309" s="2450">
        <v>0</v>
      </c>
      <c r="H309" s="2450">
        <v>0</v>
      </c>
    </row>
    <row r="310" spans="1:8" ht="18.75" customHeight="1" x14ac:dyDescent="0.2">
      <c r="A310" s="2449" t="s">
        <v>1704</v>
      </c>
      <c r="B310" s="2449" t="s">
        <v>1564</v>
      </c>
      <c r="C310" s="2449" t="s">
        <v>1542</v>
      </c>
      <c r="D310" s="2449" t="s">
        <v>1646</v>
      </c>
      <c r="E310" s="2450">
        <v>331310656</v>
      </c>
      <c r="F310" s="2450">
        <v>37800</v>
      </c>
      <c r="G310" s="2450">
        <v>325145656</v>
      </c>
      <c r="H310" s="2450">
        <v>6127200</v>
      </c>
    </row>
    <row r="311" spans="1:8" ht="18.75" customHeight="1" x14ac:dyDescent="0.2">
      <c r="A311" s="2449" t="s">
        <v>1704</v>
      </c>
      <c r="B311" s="2449" t="s">
        <v>1564</v>
      </c>
      <c r="C311" s="2449" t="s">
        <v>1542</v>
      </c>
      <c r="D311" s="2449" t="s">
        <v>1901</v>
      </c>
      <c r="E311" s="2450">
        <v>4590</v>
      </c>
      <c r="F311" s="2450">
        <v>0</v>
      </c>
      <c r="G311" s="2450">
        <v>4590</v>
      </c>
      <c r="H311" s="2450">
        <v>0</v>
      </c>
    </row>
    <row r="312" spans="1:8" ht="18.75" customHeight="1" x14ac:dyDescent="0.2">
      <c r="A312" s="2449" t="s">
        <v>1704</v>
      </c>
      <c r="B312" s="2449" t="s">
        <v>1564</v>
      </c>
      <c r="C312" s="2449" t="s">
        <v>1542</v>
      </c>
      <c r="D312" s="2449" t="s">
        <v>1577</v>
      </c>
      <c r="E312" s="2450">
        <v>76332327</v>
      </c>
      <c r="F312" s="2450">
        <v>0</v>
      </c>
      <c r="G312" s="2450">
        <v>76332327</v>
      </c>
      <c r="H312" s="2450">
        <v>0</v>
      </c>
    </row>
    <row r="313" spans="1:8" ht="18.75" customHeight="1" x14ac:dyDescent="0.2">
      <c r="A313" s="2449" t="s">
        <v>1704</v>
      </c>
      <c r="B313" s="2449" t="s">
        <v>1564</v>
      </c>
      <c r="C313" s="2449" t="s">
        <v>1542</v>
      </c>
      <c r="D313" s="2449" t="s">
        <v>1553</v>
      </c>
      <c r="E313" s="2450">
        <v>82639147</v>
      </c>
      <c r="F313" s="2450">
        <v>0</v>
      </c>
      <c r="G313" s="2450">
        <v>82639147</v>
      </c>
      <c r="H313" s="2450">
        <v>0</v>
      </c>
    </row>
    <row r="314" spans="1:8" ht="18.75" customHeight="1" x14ac:dyDescent="0.2">
      <c r="A314" s="2449" t="s">
        <v>1704</v>
      </c>
      <c r="B314" s="2449" t="s">
        <v>1564</v>
      </c>
      <c r="C314" s="2449" t="s">
        <v>1542</v>
      </c>
      <c r="D314" s="2449" t="s">
        <v>1578</v>
      </c>
      <c r="E314" s="2450">
        <v>1025922</v>
      </c>
      <c r="F314" s="2450">
        <v>0</v>
      </c>
      <c r="G314" s="2450">
        <v>1025922</v>
      </c>
      <c r="H314" s="2450">
        <v>0</v>
      </c>
    </row>
    <row r="315" spans="1:8" ht="18.75" customHeight="1" x14ac:dyDescent="0.2">
      <c r="A315" s="2449" t="s">
        <v>1704</v>
      </c>
      <c r="B315" s="2449" t="s">
        <v>1564</v>
      </c>
      <c r="C315" s="2449" t="s">
        <v>1542</v>
      </c>
      <c r="D315" s="2449" t="s">
        <v>1876</v>
      </c>
      <c r="E315" s="2450">
        <v>37800</v>
      </c>
      <c r="F315" s="2450">
        <v>37800</v>
      </c>
      <c r="G315" s="2450">
        <v>0</v>
      </c>
      <c r="H315" s="2450">
        <v>0</v>
      </c>
    </row>
    <row r="316" spans="1:8" ht="18.75" customHeight="1" x14ac:dyDescent="0.2">
      <c r="A316" s="2449" t="s">
        <v>1704</v>
      </c>
      <c r="B316" s="2449" t="s">
        <v>1564</v>
      </c>
      <c r="C316" s="2449" t="s">
        <v>1542</v>
      </c>
      <c r="D316" s="2449" t="s">
        <v>1554</v>
      </c>
      <c r="E316" s="2450">
        <v>160043670</v>
      </c>
      <c r="F316" s="2450">
        <v>0</v>
      </c>
      <c r="G316" s="2450">
        <v>160043670</v>
      </c>
      <c r="H316" s="2450">
        <v>0</v>
      </c>
    </row>
    <row r="317" spans="1:8" ht="18.75" customHeight="1" x14ac:dyDescent="0.2">
      <c r="A317" s="2449" t="s">
        <v>1704</v>
      </c>
      <c r="B317" s="2449" t="s">
        <v>1564</v>
      </c>
      <c r="C317" s="2449" t="s">
        <v>1542</v>
      </c>
      <c r="D317" s="2449" t="s">
        <v>1555</v>
      </c>
      <c r="E317" s="2450">
        <v>11227200</v>
      </c>
      <c r="F317" s="2450">
        <v>0</v>
      </c>
      <c r="G317" s="2450">
        <v>5100000</v>
      </c>
      <c r="H317" s="2450">
        <v>6127200</v>
      </c>
    </row>
    <row r="318" spans="1:8" ht="18.75" customHeight="1" x14ac:dyDescent="0.2">
      <c r="A318" s="2449" t="s">
        <v>1704</v>
      </c>
      <c r="B318" s="2449" t="s">
        <v>1579</v>
      </c>
      <c r="C318" s="2449" t="s">
        <v>1646</v>
      </c>
      <c r="D318" s="2449" t="s">
        <v>1646</v>
      </c>
      <c r="E318" s="2450">
        <v>374473982209</v>
      </c>
      <c r="F318" s="2450">
        <v>0</v>
      </c>
      <c r="G318" s="2450">
        <v>0</v>
      </c>
      <c r="H318" s="2450">
        <v>374473982209</v>
      </c>
    </row>
    <row r="319" spans="1:8" ht="18.75" customHeight="1" x14ac:dyDescent="0.2">
      <c r="A319" s="2449" t="s">
        <v>1704</v>
      </c>
      <c r="B319" s="2449" t="s">
        <v>1579</v>
      </c>
      <c r="C319" s="2449" t="s">
        <v>1902</v>
      </c>
      <c r="D319" s="2449" t="s">
        <v>1646</v>
      </c>
      <c r="E319" s="2450">
        <v>5270579123</v>
      </c>
      <c r="F319" s="2450">
        <v>0</v>
      </c>
      <c r="G319" s="2450">
        <v>0</v>
      </c>
      <c r="H319" s="2450">
        <v>5270579123</v>
      </c>
    </row>
    <row r="320" spans="1:8" ht="18.75" customHeight="1" x14ac:dyDescent="0.2">
      <c r="A320" s="2449" t="s">
        <v>1704</v>
      </c>
      <c r="B320" s="2449" t="s">
        <v>1579</v>
      </c>
      <c r="C320" s="2449" t="s">
        <v>1902</v>
      </c>
      <c r="D320" s="2449" t="s">
        <v>1580</v>
      </c>
      <c r="E320" s="2450">
        <v>420563459</v>
      </c>
      <c r="F320" s="2450">
        <v>0</v>
      </c>
      <c r="G320" s="2450">
        <v>0</v>
      </c>
      <c r="H320" s="2450">
        <v>420563459</v>
      </c>
    </row>
    <row r="321" spans="1:8" ht="18.75" customHeight="1" x14ac:dyDescent="0.2">
      <c r="A321" s="2449" t="s">
        <v>1704</v>
      </c>
      <c r="B321" s="2449" t="s">
        <v>1579</v>
      </c>
      <c r="C321" s="2449" t="s">
        <v>1902</v>
      </c>
      <c r="D321" s="2449" t="s">
        <v>1581</v>
      </c>
      <c r="E321" s="2450">
        <v>1873383983</v>
      </c>
      <c r="F321" s="2450">
        <v>0</v>
      </c>
      <c r="G321" s="2450">
        <v>0</v>
      </c>
      <c r="H321" s="2450">
        <v>1873383983</v>
      </c>
    </row>
    <row r="322" spans="1:8" ht="18.75" customHeight="1" x14ac:dyDescent="0.2">
      <c r="A322" s="2449" t="s">
        <v>1704</v>
      </c>
      <c r="B322" s="2449" t="s">
        <v>1579</v>
      </c>
      <c r="C322" s="2449" t="s">
        <v>1902</v>
      </c>
      <c r="D322" s="2449" t="s">
        <v>1582</v>
      </c>
      <c r="E322" s="2450">
        <v>196770819</v>
      </c>
      <c r="F322" s="2450">
        <v>0</v>
      </c>
      <c r="G322" s="2450">
        <v>0</v>
      </c>
      <c r="H322" s="2450">
        <v>196770819</v>
      </c>
    </row>
    <row r="323" spans="1:8" ht="18.75" customHeight="1" x14ac:dyDescent="0.2">
      <c r="A323" s="2449" t="s">
        <v>1704</v>
      </c>
      <c r="B323" s="2449" t="s">
        <v>1579</v>
      </c>
      <c r="C323" s="2449" t="s">
        <v>1902</v>
      </c>
      <c r="D323" s="2449" t="s">
        <v>1903</v>
      </c>
      <c r="E323" s="2450">
        <v>450459747</v>
      </c>
      <c r="F323" s="2450">
        <v>0</v>
      </c>
      <c r="G323" s="2450">
        <v>0</v>
      </c>
      <c r="H323" s="2450">
        <v>450459747</v>
      </c>
    </row>
    <row r="324" spans="1:8" ht="18.75" customHeight="1" x14ac:dyDescent="0.2">
      <c r="A324" s="2449" t="s">
        <v>1704</v>
      </c>
      <c r="B324" s="2449" t="s">
        <v>1579</v>
      </c>
      <c r="C324" s="2449" t="s">
        <v>1902</v>
      </c>
      <c r="D324" s="2449" t="s">
        <v>1583</v>
      </c>
      <c r="E324" s="2450">
        <v>1474609127</v>
      </c>
      <c r="F324" s="2450">
        <v>0</v>
      </c>
      <c r="G324" s="2450">
        <v>0</v>
      </c>
      <c r="H324" s="2450">
        <v>1474609127</v>
      </c>
    </row>
    <row r="325" spans="1:8" ht="18.75" customHeight="1" x14ac:dyDescent="0.2">
      <c r="A325" s="2449" t="s">
        <v>1704</v>
      </c>
      <c r="B325" s="2449" t="s">
        <v>1579</v>
      </c>
      <c r="C325" s="2449" t="s">
        <v>1902</v>
      </c>
      <c r="D325" s="2449" t="s">
        <v>1584</v>
      </c>
      <c r="E325" s="2450">
        <v>854791988</v>
      </c>
      <c r="F325" s="2450">
        <v>0</v>
      </c>
      <c r="G325" s="2450">
        <v>0</v>
      </c>
      <c r="H325" s="2450">
        <v>854791988</v>
      </c>
    </row>
    <row r="326" spans="1:8" ht="18.75" customHeight="1" x14ac:dyDescent="0.2">
      <c r="A326" s="2449" t="s">
        <v>1704</v>
      </c>
      <c r="B326" s="2449" t="s">
        <v>1579</v>
      </c>
      <c r="C326" s="2449" t="s">
        <v>1585</v>
      </c>
      <c r="D326" s="2449" t="s">
        <v>1646</v>
      </c>
      <c r="E326" s="2450">
        <v>368728607754</v>
      </c>
      <c r="F326" s="2450">
        <v>0</v>
      </c>
      <c r="G326" s="2450">
        <v>0</v>
      </c>
      <c r="H326" s="2450">
        <v>368728607754</v>
      </c>
    </row>
    <row r="327" spans="1:8" ht="18.75" customHeight="1" x14ac:dyDescent="0.2">
      <c r="A327" s="2449" t="s">
        <v>1704</v>
      </c>
      <c r="B327" s="2449" t="s">
        <v>1579</v>
      </c>
      <c r="C327" s="2449" t="s">
        <v>1585</v>
      </c>
      <c r="D327" s="2449" t="s">
        <v>1586</v>
      </c>
      <c r="E327" s="2450">
        <v>256253874592</v>
      </c>
      <c r="F327" s="2450">
        <v>0</v>
      </c>
      <c r="G327" s="2450">
        <v>0</v>
      </c>
      <c r="H327" s="2450">
        <v>256253874592</v>
      </c>
    </row>
    <row r="328" spans="1:8" ht="18.75" customHeight="1" x14ac:dyDescent="0.2">
      <c r="A328" s="2449" t="s">
        <v>1704</v>
      </c>
      <c r="B328" s="2449" t="s">
        <v>1579</v>
      </c>
      <c r="C328" s="2449" t="s">
        <v>1585</v>
      </c>
      <c r="D328" s="2449" t="s">
        <v>1587</v>
      </c>
      <c r="E328" s="2450">
        <v>112474733162</v>
      </c>
      <c r="F328" s="2450">
        <v>0</v>
      </c>
      <c r="G328" s="2450">
        <v>0</v>
      </c>
      <c r="H328" s="2450">
        <v>112474733162</v>
      </c>
    </row>
    <row r="329" spans="1:8" ht="18.75" customHeight="1" x14ac:dyDescent="0.2">
      <c r="A329" s="2449" t="s">
        <v>1704</v>
      </c>
      <c r="B329" s="2449" t="s">
        <v>1579</v>
      </c>
      <c r="C329" s="2449" t="s">
        <v>1588</v>
      </c>
      <c r="D329" s="2449" t="s">
        <v>1646</v>
      </c>
      <c r="E329" s="2450">
        <v>474795332</v>
      </c>
      <c r="F329" s="2450">
        <v>0</v>
      </c>
      <c r="G329" s="2450">
        <v>0</v>
      </c>
      <c r="H329" s="2450">
        <v>474795332</v>
      </c>
    </row>
    <row r="330" spans="1:8" ht="18.75" customHeight="1" x14ac:dyDescent="0.2">
      <c r="A330" s="2449" t="s">
        <v>1704</v>
      </c>
      <c r="B330" s="2449" t="s">
        <v>1579</v>
      </c>
      <c r="C330" s="2449" t="s">
        <v>1588</v>
      </c>
      <c r="D330" s="2449" t="s">
        <v>1589</v>
      </c>
      <c r="E330" s="2450">
        <v>474795332</v>
      </c>
      <c r="F330" s="2450">
        <v>0</v>
      </c>
      <c r="G330" s="2450">
        <v>0</v>
      </c>
      <c r="H330" s="2450">
        <v>474795332</v>
      </c>
    </row>
    <row r="331" spans="1:8" ht="18.75" customHeight="1" x14ac:dyDescent="0.2">
      <c r="A331" s="2449" t="s">
        <v>1704</v>
      </c>
      <c r="B331" s="2449" t="s">
        <v>1904</v>
      </c>
      <c r="C331" s="2449" t="s">
        <v>1646</v>
      </c>
      <c r="D331" s="2449" t="s">
        <v>1646</v>
      </c>
      <c r="E331" s="2450">
        <v>1279933496</v>
      </c>
      <c r="F331" s="2450">
        <v>0</v>
      </c>
      <c r="G331" s="2450">
        <v>1279933496</v>
      </c>
      <c r="H331" s="2450">
        <v>0</v>
      </c>
    </row>
    <row r="332" spans="1:8" ht="18.75" customHeight="1" x14ac:dyDescent="0.2">
      <c r="A332" s="2449" t="s">
        <v>1704</v>
      </c>
      <c r="B332" s="2449" t="s">
        <v>1904</v>
      </c>
      <c r="C332" s="2449" t="s">
        <v>1547</v>
      </c>
      <c r="D332" s="2449" t="s">
        <v>1646</v>
      </c>
      <c r="E332" s="2450">
        <v>281052325</v>
      </c>
      <c r="F332" s="2450">
        <v>0</v>
      </c>
      <c r="G332" s="2450">
        <v>281052325</v>
      </c>
      <c r="H332" s="2450">
        <v>0</v>
      </c>
    </row>
    <row r="333" spans="1:8" ht="18.75" customHeight="1" x14ac:dyDescent="0.2">
      <c r="A333" s="2449" t="s">
        <v>1704</v>
      </c>
      <c r="B333" s="2449" t="s">
        <v>1904</v>
      </c>
      <c r="C333" s="2449" t="s">
        <v>1547</v>
      </c>
      <c r="D333" s="2449" t="s">
        <v>1548</v>
      </c>
      <c r="E333" s="2450">
        <v>281052325</v>
      </c>
      <c r="F333" s="2450">
        <v>0</v>
      </c>
      <c r="G333" s="2450">
        <v>281052325</v>
      </c>
      <c r="H333" s="2450">
        <v>0</v>
      </c>
    </row>
    <row r="334" spans="1:8" ht="18.75" customHeight="1" x14ac:dyDescent="0.2">
      <c r="A334" s="2449" t="s">
        <v>1704</v>
      </c>
      <c r="B334" s="2449" t="s">
        <v>1904</v>
      </c>
      <c r="C334" s="2449" t="s">
        <v>1905</v>
      </c>
      <c r="D334" s="2449" t="s">
        <v>1646</v>
      </c>
      <c r="E334" s="2450">
        <v>3325000</v>
      </c>
      <c r="F334" s="2450">
        <v>0</v>
      </c>
      <c r="G334" s="2450">
        <v>3325000</v>
      </c>
      <c r="H334" s="2450">
        <v>0</v>
      </c>
    </row>
    <row r="335" spans="1:8" ht="18.75" customHeight="1" x14ac:dyDescent="0.2">
      <c r="A335" s="2449" t="s">
        <v>1704</v>
      </c>
      <c r="B335" s="2449" t="s">
        <v>1904</v>
      </c>
      <c r="C335" s="2449" t="s">
        <v>1905</v>
      </c>
      <c r="D335" s="2449" t="s">
        <v>1906</v>
      </c>
      <c r="E335" s="2450">
        <v>3325000</v>
      </c>
      <c r="F335" s="2450">
        <v>0</v>
      </c>
      <c r="G335" s="2450">
        <v>3325000</v>
      </c>
      <c r="H335" s="2450">
        <v>0</v>
      </c>
    </row>
    <row r="336" spans="1:8" ht="18.75" customHeight="1" x14ac:dyDescent="0.2">
      <c r="A336" s="2449" t="s">
        <v>1704</v>
      </c>
      <c r="B336" s="2449" t="s">
        <v>1904</v>
      </c>
      <c r="C336" s="2449" t="s">
        <v>1560</v>
      </c>
      <c r="D336" s="2449" t="s">
        <v>1646</v>
      </c>
      <c r="E336" s="2450">
        <v>236312740</v>
      </c>
      <c r="F336" s="2450">
        <v>0</v>
      </c>
      <c r="G336" s="2450">
        <v>236312740</v>
      </c>
      <c r="H336" s="2450">
        <v>0</v>
      </c>
    </row>
    <row r="337" spans="1:8" ht="18.75" customHeight="1" x14ac:dyDescent="0.2">
      <c r="A337" s="2449" t="s">
        <v>1704</v>
      </c>
      <c r="B337" s="2449" t="s">
        <v>1904</v>
      </c>
      <c r="C337" s="2449" t="s">
        <v>1560</v>
      </c>
      <c r="D337" s="2449" t="s">
        <v>1561</v>
      </c>
      <c r="E337" s="2450">
        <v>236312740</v>
      </c>
      <c r="F337" s="2450">
        <v>0</v>
      </c>
      <c r="G337" s="2450">
        <v>236312740</v>
      </c>
      <c r="H337" s="2450">
        <v>0</v>
      </c>
    </row>
    <row r="338" spans="1:8" ht="18.75" customHeight="1" x14ac:dyDescent="0.2">
      <c r="A338" s="2449" t="s">
        <v>1704</v>
      </c>
      <c r="B338" s="2449" t="s">
        <v>1904</v>
      </c>
      <c r="C338" s="2449" t="s">
        <v>1541</v>
      </c>
      <c r="D338" s="2449" t="s">
        <v>1646</v>
      </c>
      <c r="E338" s="2450">
        <v>28367000</v>
      </c>
      <c r="F338" s="2450">
        <v>0</v>
      </c>
      <c r="G338" s="2450">
        <v>28367000</v>
      </c>
      <c r="H338" s="2450">
        <v>0</v>
      </c>
    </row>
    <row r="339" spans="1:8" ht="18.75" customHeight="1" x14ac:dyDescent="0.2">
      <c r="A339" s="2449" t="s">
        <v>1704</v>
      </c>
      <c r="B339" s="2449" t="s">
        <v>1904</v>
      </c>
      <c r="C339" s="2449" t="s">
        <v>1541</v>
      </c>
      <c r="D339" s="2449" t="s">
        <v>1563</v>
      </c>
      <c r="E339" s="2450">
        <v>28367000</v>
      </c>
      <c r="F339" s="2450">
        <v>0</v>
      </c>
      <c r="G339" s="2450">
        <v>28367000</v>
      </c>
      <c r="H339" s="2450">
        <v>0</v>
      </c>
    </row>
    <row r="340" spans="1:8" ht="18.75" customHeight="1" x14ac:dyDescent="0.2">
      <c r="A340" s="2449" t="s">
        <v>1704</v>
      </c>
      <c r="B340" s="2449" t="s">
        <v>1904</v>
      </c>
      <c r="C340" s="2449" t="s">
        <v>1573</v>
      </c>
      <c r="D340" s="2449" t="s">
        <v>1646</v>
      </c>
      <c r="E340" s="2450">
        <v>1000000</v>
      </c>
      <c r="F340" s="2450">
        <v>0</v>
      </c>
      <c r="G340" s="2450">
        <v>1000000</v>
      </c>
      <c r="H340" s="2450">
        <v>0</v>
      </c>
    </row>
    <row r="341" spans="1:8" ht="18.75" customHeight="1" x14ac:dyDescent="0.2">
      <c r="A341" s="2449" t="s">
        <v>1704</v>
      </c>
      <c r="B341" s="2449" t="s">
        <v>1904</v>
      </c>
      <c r="C341" s="2449" t="s">
        <v>1573</v>
      </c>
      <c r="D341" s="2449" t="s">
        <v>1576</v>
      </c>
      <c r="E341" s="2450">
        <v>1000000</v>
      </c>
      <c r="F341" s="2450">
        <v>0</v>
      </c>
      <c r="G341" s="2450">
        <v>1000000</v>
      </c>
      <c r="H341" s="2450">
        <v>0</v>
      </c>
    </row>
    <row r="342" spans="1:8" ht="18.75" customHeight="1" x14ac:dyDescent="0.2">
      <c r="A342" s="2449" t="s">
        <v>1704</v>
      </c>
      <c r="B342" s="2449" t="s">
        <v>1904</v>
      </c>
      <c r="C342" s="2449" t="s">
        <v>1542</v>
      </c>
      <c r="D342" s="2449" t="s">
        <v>1646</v>
      </c>
      <c r="E342" s="2450">
        <v>729876431</v>
      </c>
      <c r="F342" s="2450">
        <v>0</v>
      </c>
      <c r="G342" s="2450">
        <v>729876431</v>
      </c>
      <c r="H342" s="2450">
        <v>0</v>
      </c>
    </row>
    <row r="343" spans="1:8" ht="18.75" customHeight="1" x14ac:dyDescent="0.2">
      <c r="A343" s="2449" t="s">
        <v>1704</v>
      </c>
      <c r="B343" s="2449" t="s">
        <v>1904</v>
      </c>
      <c r="C343" s="2449" t="s">
        <v>1542</v>
      </c>
      <c r="D343" s="2449" t="s">
        <v>1859</v>
      </c>
      <c r="E343" s="2450">
        <v>729341310</v>
      </c>
      <c r="F343" s="2450">
        <v>0</v>
      </c>
      <c r="G343" s="2450">
        <v>729341310</v>
      </c>
      <c r="H343" s="2450">
        <v>0</v>
      </c>
    </row>
    <row r="344" spans="1:8" ht="18.75" customHeight="1" x14ac:dyDescent="0.2">
      <c r="A344" s="2449" t="s">
        <v>1704</v>
      </c>
      <c r="B344" s="2449" t="s">
        <v>1904</v>
      </c>
      <c r="C344" s="2449" t="s">
        <v>1542</v>
      </c>
      <c r="D344" s="2449" t="s">
        <v>1577</v>
      </c>
      <c r="E344" s="2450">
        <v>39500</v>
      </c>
      <c r="F344" s="2450">
        <v>0</v>
      </c>
      <c r="G344" s="2450">
        <v>39500</v>
      </c>
      <c r="H344" s="2450">
        <v>0</v>
      </c>
    </row>
    <row r="345" spans="1:8" ht="18.75" customHeight="1" x14ac:dyDescent="0.2">
      <c r="A345" s="2449" t="s">
        <v>1704</v>
      </c>
      <c r="B345" s="2449" t="s">
        <v>1904</v>
      </c>
      <c r="C345" s="2449" t="s">
        <v>1542</v>
      </c>
      <c r="D345" s="2449" t="s">
        <v>1554</v>
      </c>
      <c r="E345" s="2450">
        <v>495621</v>
      </c>
      <c r="F345" s="2450">
        <v>0</v>
      </c>
      <c r="G345" s="2450">
        <v>495621</v>
      </c>
      <c r="H345" s="2450">
        <v>0</v>
      </c>
    </row>
    <row r="346" spans="1:8" ht="14.25" hidden="1" x14ac:dyDescent="0.25"/>
    <row r="347" spans="1:8" ht="14.25" hidden="1" x14ac:dyDescent="0.25"/>
    <row r="348" spans="1:8" ht="20.25" hidden="1" customHeight="1" x14ac:dyDescent="0.25">
      <c r="A348" s="3279" t="s">
        <v>2342</v>
      </c>
      <c r="B348" s="3279"/>
      <c r="C348" s="3279"/>
      <c r="D348" s="3279"/>
      <c r="F348" s="3276" t="s">
        <v>2342</v>
      </c>
      <c r="G348" s="3276"/>
      <c r="H348" s="3276"/>
    </row>
    <row r="349" spans="1:8" ht="34.5" hidden="1" customHeight="1" x14ac:dyDescent="0.25">
      <c r="A349" s="3280" t="s">
        <v>1720</v>
      </c>
      <c r="B349" s="3280"/>
      <c r="C349" s="3280"/>
      <c r="D349" s="3280"/>
      <c r="F349" s="3278" t="s">
        <v>1855</v>
      </c>
      <c r="G349" s="3278"/>
      <c r="H349" s="3278"/>
    </row>
    <row r="350" spans="1:8" ht="15.75" hidden="1" customHeight="1" x14ac:dyDescent="0.25">
      <c r="A350" s="3279" t="s">
        <v>12</v>
      </c>
      <c r="B350" s="3279"/>
      <c r="C350" s="3279"/>
      <c r="D350" s="3279"/>
      <c r="F350" s="3276" t="s">
        <v>12</v>
      </c>
      <c r="G350" s="3276"/>
      <c r="H350" s="3276"/>
    </row>
    <row r="351" spans="1:8" ht="14.25" hidden="1" x14ac:dyDescent="0.25"/>
    <row r="352" spans="1:8" ht="14.25" hidden="1" x14ac:dyDescent="0.25"/>
    <row r="353" spans="2:8" ht="14.25" hidden="1" x14ac:dyDescent="0.25"/>
    <row r="354" spans="2:8" ht="14.25" hidden="1" x14ac:dyDescent="0.25"/>
    <row r="355" spans="2:8" ht="14.25" hidden="1" x14ac:dyDescent="0.25"/>
    <row r="356" spans="2:8" s="1727" customFormat="1" ht="18" hidden="1" customHeight="1" x14ac:dyDescent="0.25">
      <c r="B356" s="1730"/>
      <c r="C356" s="1730"/>
      <c r="D356" s="1730"/>
      <c r="F356" s="3277" t="s">
        <v>1386</v>
      </c>
      <c r="G356" s="3277"/>
      <c r="H356" s="3277"/>
    </row>
    <row r="357" spans="2:8" ht="14.25" x14ac:dyDescent="0.25"/>
    <row r="358" spans="2:8" ht="14.25" x14ac:dyDescent="0.25"/>
    <row r="359" spans="2:8" ht="14.25" x14ac:dyDescent="0.25"/>
    <row r="360" spans="2:8" ht="14.25" x14ac:dyDescent="0.25"/>
    <row r="361" spans="2:8" ht="14.25" x14ac:dyDescent="0.25"/>
    <row r="362" spans="2:8" ht="14.25" x14ac:dyDescent="0.25"/>
    <row r="363" spans="2:8" ht="14.25" x14ac:dyDescent="0.25"/>
    <row r="364" spans="2:8" ht="14.25" x14ac:dyDescent="0.25"/>
    <row r="365" spans="2:8" ht="14.25" x14ac:dyDescent="0.25"/>
    <row r="366" spans="2:8" ht="14.25" x14ac:dyDescent="0.25"/>
    <row r="367" spans="2:8" ht="14.25" x14ac:dyDescent="0.25"/>
    <row r="368" spans="2:8" ht="14.25" x14ac:dyDescent="0.25"/>
    <row r="369" ht="14.25" x14ac:dyDescent="0.25"/>
    <row r="370" ht="14.25" x14ac:dyDescent="0.25"/>
    <row r="371" ht="14.25" x14ac:dyDescent="0.25"/>
    <row r="372" ht="14.25" x14ac:dyDescent="0.25"/>
    <row r="373" ht="14.25" x14ac:dyDescent="0.25"/>
    <row r="374" ht="14.25" x14ac:dyDescent="0.25"/>
    <row r="375" ht="14.25" x14ac:dyDescent="0.25"/>
    <row r="376" ht="14.25" x14ac:dyDescent="0.25"/>
    <row r="377" ht="14.25" x14ac:dyDescent="0.25"/>
    <row r="378" ht="14.25" x14ac:dyDescent="0.25"/>
    <row r="379" ht="14.25" x14ac:dyDescent="0.25"/>
    <row r="380" ht="14.25" x14ac:dyDescent="0.25"/>
    <row r="381" ht="14.25" x14ac:dyDescent="0.25"/>
    <row r="382" ht="14.25" x14ac:dyDescent="0.25"/>
    <row r="383" ht="14.25" x14ac:dyDescent="0.25"/>
    <row r="384" ht="14.25" x14ac:dyDescent="0.25"/>
    <row r="385" ht="14.25" x14ac:dyDescent="0.25"/>
    <row r="386" ht="14.25" x14ac:dyDescent="0.25"/>
    <row r="387" ht="14.25" x14ac:dyDescent="0.25"/>
    <row r="388" ht="14.25" x14ac:dyDescent="0.25"/>
    <row r="389" ht="14.25" x14ac:dyDescent="0.25"/>
    <row r="390" ht="14.25" x14ac:dyDescent="0.25"/>
    <row r="391" ht="14.25" x14ac:dyDescent="0.25"/>
    <row r="392" ht="14.25" x14ac:dyDescent="0.25"/>
    <row r="393" ht="14.25" x14ac:dyDescent="0.25"/>
    <row r="394" ht="14.25" x14ac:dyDescent="0.25"/>
    <row r="395" ht="14.25" x14ac:dyDescent="0.25"/>
    <row r="396" ht="14.25" x14ac:dyDescent="0.25"/>
    <row r="397" ht="14.25" x14ac:dyDescent="0.25"/>
    <row r="398" ht="14.25" x14ac:dyDescent="0.25"/>
    <row r="399" ht="14.25" x14ac:dyDescent="0.25"/>
    <row r="400" ht="14.25" x14ac:dyDescent="0.25"/>
    <row r="401" ht="14.25" x14ac:dyDescent="0.25"/>
    <row r="402" ht="14.25" x14ac:dyDescent="0.25"/>
    <row r="403" ht="14.25" x14ac:dyDescent="0.25"/>
    <row r="404" ht="14.25" x14ac:dyDescent="0.25"/>
    <row r="405" ht="14.25" x14ac:dyDescent="0.25"/>
    <row r="406" ht="14.25" x14ac:dyDescent="0.25"/>
    <row r="407" ht="14.25" x14ac:dyDescent="0.25"/>
    <row r="408" ht="14.25" x14ac:dyDescent="0.25"/>
    <row r="409" ht="14.25" x14ac:dyDescent="0.25"/>
    <row r="410" ht="14.25" x14ac:dyDescent="0.25"/>
    <row r="411" ht="14.25" x14ac:dyDescent="0.25"/>
    <row r="412" ht="14.25" x14ac:dyDescent="0.25"/>
    <row r="413" ht="14.25" x14ac:dyDescent="0.25"/>
    <row r="414" ht="14.25" x14ac:dyDescent="0.25"/>
    <row r="415" ht="14.25" x14ac:dyDescent="0.25"/>
    <row r="416" ht="14.25" x14ac:dyDescent="0.25"/>
    <row r="417" ht="14.25" x14ac:dyDescent="0.25"/>
    <row r="418" ht="14.25" x14ac:dyDescent="0.25"/>
    <row r="419" ht="14.25" x14ac:dyDescent="0.25"/>
    <row r="420" ht="14.25" x14ac:dyDescent="0.25"/>
    <row r="421" ht="14.25" x14ac:dyDescent="0.25"/>
    <row r="422" ht="14.25" x14ac:dyDescent="0.25"/>
    <row r="423" ht="14.25" x14ac:dyDescent="0.25"/>
    <row r="424" ht="14.25" x14ac:dyDescent="0.25"/>
    <row r="425" ht="14.25" x14ac:dyDescent="0.25"/>
    <row r="426" ht="14.25" x14ac:dyDescent="0.25"/>
    <row r="427" ht="14.25" x14ac:dyDescent="0.25"/>
    <row r="428" ht="14.25" x14ac:dyDescent="0.25"/>
    <row r="429" ht="14.25" x14ac:dyDescent="0.25"/>
    <row r="430" ht="14.25" x14ac:dyDescent="0.25"/>
    <row r="431" ht="14.25" x14ac:dyDescent="0.25"/>
    <row r="432" ht="14.25" x14ac:dyDescent="0.25"/>
    <row r="433" ht="14.25" x14ac:dyDescent="0.25"/>
    <row r="434" ht="14.25" x14ac:dyDescent="0.25"/>
    <row r="435" ht="14.25" x14ac:dyDescent="0.25"/>
    <row r="436" ht="14.25" x14ac:dyDescent="0.25"/>
    <row r="437" ht="14.25" x14ac:dyDescent="0.25"/>
    <row r="438" ht="14.25" x14ac:dyDescent="0.25"/>
    <row r="439" ht="14.25" x14ac:dyDescent="0.25"/>
    <row r="440" ht="14.25" x14ac:dyDescent="0.25"/>
    <row r="441" ht="14.25" x14ac:dyDescent="0.25"/>
    <row r="442" ht="14.25" x14ac:dyDescent="0.25"/>
    <row r="443" ht="14.25" x14ac:dyDescent="0.25"/>
    <row r="444" ht="14.25" x14ac:dyDescent="0.25"/>
    <row r="445" ht="14.25" x14ac:dyDescent="0.25"/>
    <row r="446" ht="14.25" x14ac:dyDescent="0.25"/>
    <row r="447" ht="14.25" x14ac:dyDescent="0.25"/>
    <row r="448" ht="14.25" x14ac:dyDescent="0.25"/>
    <row r="449" ht="14.25" x14ac:dyDescent="0.25"/>
    <row r="450" ht="14.25" x14ac:dyDescent="0.25"/>
    <row r="451" ht="14.25" x14ac:dyDescent="0.25"/>
    <row r="452" ht="14.25" x14ac:dyDescent="0.25"/>
    <row r="453" ht="14.25" x14ac:dyDescent="0.25"/>
    <row r="454" ht="14.25" x14ac:dyDescent="0.25"/>
    <row r="455" ht="14.25" x14ac:dyDescent="0.25"/>
    <row r="456" ht="14.25" x14ac:dyDescent="0.25"/>
    <row r="457" ht="14.25" x14ac:dyDescent="0.25"/>
    <row r="458" ht="14.25" x14ac:dyDescent="0.25"/>
    <row r="459" ht="14.25" x14ac:dyDescent="0.25"/>
    <row r="460" ht="14.25" x14ac:dyDescent="0.25"/>
    <row r="461" ht="14.25" x14ac:dyDescent="0.25"/>
    <row r="462" ht="14.25" x14ac:dyDescent="0.25"/>
    <row r="463" ht="14.25" x14ac:dyDescent="0.25"/>
    <row r="464" ht="14.25" x14ac:dyDescent="0.25"/>
    <row r="465" ht="14.25" x14ac:dyDescent="0.25"/>
    <row r="466" ht="14.25" x14ac:dyDescent="0.25"/>
    <row r="467" ht="14.25" x14ac:dyDescent="0.25"/>
    <row r="468" ht="14.25" x14ac:dyDescent="0.25"/>
    <row r="469" ht="14.25" x14ac:dyDescent="0.25"/>
    <row r="470" ht="14.25" x14ac:dyDescent="0.25"/>
    <row r="471" ht="14.25" x14ac:dyDescent="0.25"/>
    <row r="472" ht="14.25" x14ac:dyDescent="0.25"/>
    <row r="473" ht="14.25" x14ac:dyDescent="0.25"/>
    <row r="474" ht="14.25" x14ac:dyDescent="0.25"/>
    <row r="475" ht="14.25" x14ac:dyDescent="0.25"/>
    <row r="476" ht="14.25" x14ac:dyDescent="0.25"/>
    <row r="477" ht="14.25" x14ac:dyDescent="0.25"/>
    <row r="478" ht="14.25" x14ac:dyDescent="0.25"/>
    <row r="479" ht="14.25" x14ac:dyDescent="0.25"/>
    <row r="480" ht="14.25" x14ac:dyDescent="0.25"/>
    <row r="481" ht="14.25" x14ac:dyDescent="0.25"/>
    <row r="482" ht="14.25" x14ac:dyDescent="0.25"/>
    <row r="483" ht="14.25" x14ac:dyDescent="0.25"/>
    <row r="484" ht="14.25" x14ac:dyDescent="0.25"/>
    <row r="485" ht="14.25" x14ac:dyDescent="0.25"/>
    <row r="486" ht="14.25" x14ac:dyDescent="0.25"/>
    <row r="487" ht="14.25" x14ac:dyDescent="0.25"/>
    <row r="488" ht="14.25" x14ac:dyDescent="0.25"/>
    <row r="489" ht="14.25" x14ac:dyDescent="0.25"/>
    <row r="490" ht="14.25" x14ac:dyDescent="0.25"/>
    <row r="491" ht="14.25" x14ac:dyDescent="0.25"/>
    <row r="492" ht="14.25" x14ac:dyDescent="0.25"/>
    <row r="493" ht="14.25" x14ac:dyDescent="0.25"/>
    <row r="494" ht="14.25" x14ac:dyDescent="0.25"/>
    <row r="495" ht="14.25" x14ac:dyDescent="0.25"/>
    <row r="496" ht="14.25" x14ac:dyDescent="0.25"/>
    <row r="497" ht="14.25" x14ac:dyDescent="0.25"/>
    <row r="498" ht="14.25" x14ac:dyDescent="0.25"/>
    <row r="499" ht="14.25" x14ac:dyDescent="0.25"/>
    <row r="500" ht="14.25" x14ac:dyDescent="0.25"/>
    <row r="501" ht="14.25" x14ac:dyDescent="0.25"/>
    <row r="502" ht="14.25" x14ac:dyDescent="0.25"/>
    <row r="503" ht="14.25" x14ac:dyDescent="0.25"/>
    <row r="504" ht="14.25" x14ac:dyDescent="0.25"/>
    <row r="505" ht="14.25" x14ac:dyDescent="0.25"/>
    <row r="506" ht="14.25" x14ac:dyDescent="0.25"/>
    <row r="507" ht="14.25" x14ac:dyDescent="0.25"/>
    <row r="508" ht="14.25" x14ac:dyDescent="0.25"/>
    <row r="509" ht="14.25" x14ac:dyDescent="0.25"/>
    <row r="510" ht="14.25" x14ac:dyDescent="0.25"/>
    <row r="511" ht="14.25" x14ac:dyDescent="0.25"/>
    <row r="512" ht="14.25" x14ac:dyDescent="0.25"/>
    <row r="513" ht="14.25" x14ac:dyDescent="0.25"/>
    <row r="514" ht="14.25" x14ac:dyDescent="0.25"/>
    <row r="515" ht="14.25" x14ac:dyDescent="0.25"/>
    <row r="516" ht="14.25" x14ac:dyDescent="0.25"/>
    <row r="517" ht="14.25" x14ac:dyDescent="0.25"/>
    <row r="518" ht="14.25" x14ac:dyDescent="0.25"/>
    <row r="519" ht="14.25" x14ac:dyDescent="0.25"/>
    <row r="520" ht="14.25" x14ac:dyDescent="0.25"/>
    <row r="521" ht="14.25" x14ac:dyDescent="0.25"/>
    <row r="522" ht="14.25" x14ac:dyDescent="0.25"/>
    <row r="523" ht="14.25" x14ac:dyDescent="0.25"/>
    <row r="524" ht="14.25" x14ac:dyDescent="0.25"/>
    <row r="525" ht="14.25" x14ac:dyDescent="0.25"/>
    <row r="526" ht="14.25" x14ac:dyDescent="0.25"/>
    <row r="527" ht="14.25" x14ac:dyDescent="0.25"/>
    <row r="528" ht="14.25" x14ac:dyDescent="0.25"/>
    <row r="529" ht="14.25" x14ac:dyDescent="0.25"/>
    <row r="530" ht="14.25" x14ac:dyDescent="0.25"/>
    <row r="531" ht="14.25" x14ac:dyDescent="0.25"/>
    <row r="532" ht="14.25" x14ac:dyDescent="0.25"/>
    <row r="533" ht="14.25" x14ac:dyDescent="0.25"/>
    <row r="534" ht="14.25" x14ac:dyDescent="0.25"/>
    <row r="535" ht="14.25" x14ac:dyDescent="0.25"/>
    <row r="536" ht="14.25" x14ac:dyDescent="0.25"/>
    <row r="537" ht="14.25" x14ac:dyDescent="0.25"/>
    <row r="538" ht="14.25" x14ac:dyDescent="0.25"/>
    <row r="539" ht="14.25" x14ac:dyDescent="0.25"/>
    <row r="540" ht="14.25" x14ac:dyDescent="0.25"/>
    <row r="541" ht="14.25" x14ac:dyDescent="0.25"/>
    <row r="542" ht="14.25" x14ac:dyDescent="0.25"/>
    <row r="543" ht="14.25" x14ac:dyDescent="0.25"/>
    <row r="544" ht="14.25" x14ac:dyDescent="0.25"/>
    <row r="545" ht="14.25" x14ac:dyDescent="0.25"/>
    <row r="546" ht="14.25" x14ac:dyDescent="0.25"/>
    <row r="547" ht="14.25" x14ac:dyDescent="0.25"/>
    <row r="548" ht="14.25" x14ac:dyDescent="0.25"/>
    <row r="549" ht="14.25" x14ac:dyDescent="0.25"/>
    <row r="550" ht="14.25" x14ac:dyDescent="0.25"/>
    <row r="551" ht="14.25" x14ac:dyDescent="0.25"/>
    <row r="552" ht="14.25" x14ac:dyDescent="0.25"/>
    <row r="553" ht="14.25" x14ac:dyDescent="0.25"/>
    <row r="554" ht="14.25" x14ac:dyDescent="0.25"/>
    <row r="555" ht="14.25" x14ac:dyDescent="0.25"/>
    <row r="556" ht="14.25" x14ac:dyDescent="0.25"/>
    <row r="557" ht="14.25" x14ac:dyDescent="0.25"/>
    <row r="558" ht="14.25" x14ac:dyDescent="0.25"/>
    <row r="559" ht="14.25" x14ac:dyDescent="0.25"/>
    <row r="560" ht="14.25" x14ac:dyDescent="0.25"/>
    <row r="561" ht="14.25" x14ac:dyDescent="0.25"/>
    <row r="562" ht="14.25" x14ac:dyDescent="0.25"/>
    <row r="563" ht="14.25" x14ac:dyDescent="0.25"/>
    <row r="564" ht="14.25" x14ac:dyDescent="0.25"/>
    <row r="565" ht="14.25" x14ac:dyDescent="0.25"/>
    <row r="566" ht="14.25" x14ac:dyDescent="0.25"/>
    <row r="567" ht="14.25" x14ac:dyDescent="0.25"/>
    <row r="568" ht="14.25" x14ac:dyDescent="0.25"/>
    <row r="569" ht="14.25" x14ac:dyDescent="0.25"/>
    <row r="570" ht="14.25" x14ac:dyDescent="0.25"/>
    <row r="571" ht="14.25" x14ac:dyDescent="0.25"/>
    <row r="572" ht="14.25" x14ac:dyDescent="0.25"/>
    <row r="573" ht="14.25" x14ac:dyDescent="0.25"/>
    <row r="574" ht="14.25" x14ac:dyDescent="0.25"/>
    <row r="575" ht="14.25" x14ac:dyDescent="0.25"/>
    <row r="576" ht="14.25" x14ac:dyDescent="0.25"/>
    <row r="577" ht="14.25" x14ac:dyDescent="0.25"/>
    <row r="578" ht="14.25" x14ac:dyDescent="0.25"/>
    <row r="579" ht="14.25" x14ac:dyDescent="0.25"/>
    <row r="580" ht="14.25" x14ac:dyDescent="0.25"/>
    <row r="581" ht="14.25" x14ac:dyDescent="0.25"/>
    <row r="582" ht="14.25" x14ac:dyDescent="0.25"/>
    <row r="583" ht="14.25" x14ac:dyDescent="0.25"/>
    <row r="584" ht="14.25" x14ac:dyDescent="0.25"/>
    <row r="585" ht="14.25" x14ac:dyDescent="0.25"/>
    <row r="586" ht="14.25" x14ac:dyDescent="0.25"/>
    <row r="587" ht="14.25" x14ac:dyDescent="0.25"/>
    <row r="588" ht="14.25" x14ac:dyDescent="0.25"/>
    <row r="589" ht="14.25" x14ac:dyDescent="0.25"/>
    <row r="590" ht="14.25" x14ac:dyDescent="0.25"/>
    <row r="591" ht="14.25" x14ac:dyDescent="0.25"/>
    <row r="592" ht="14.25" x14ac:dyDescent="0.25"/>
    <row r="593" ht="14.25" x14ac:dyDescent="0.25"/>
    <row r="594" ht="14.25" x14ac:dyDescent="0.25"/>
    <row r="595" ht="14.25" x14ac:dyDescent="0.25"/>
    <row r="596" ht="14.25" x14ac:dyDescent="0.25"/>
    <row r="597" ht="14.25" x14ac:dyDescent="0.25"/>
    <row r="598" ht="14.25" x14ac:dyDescent="0.25"/>
    <row r="599" ht="14.25" x14ac:dyDescent="0.25"/>
    <row r="600" ht="14.25" x14ac:dyDescent="0.25"/>
    <row r="601" ht="14.25" x14ac:dyDescent="0.25"/>
    <row r="602" ht="14.25" x14ac:dyDescent="0.25"/>
    <row r="603" ht="14.25" x14ac:dyDescent="0.25"/>
    <row r="604" ht="14.25" x14ac:dyDescent="0.25"/>
    <row r="605" ht="14.25" x14ac:dyDescent="0.25"/>
    <row r="606" ht="14.25" x14ac:dyDescent="0.25"/>
    <row r="607" ht="14.25" x14ac:dyDescent="0.25"/>
    <row r="608" ht="14.25" x14ac:dyDescent="0.25"/>
    <row r="609" ht="14.25" x14ac:dyDescent="0.25"/>
    <row r="610" ht="14.25" x14ac:dyDescent="0.25"/>
    <row r="611" ht="14.25" x14ac:dyDescent="0.25"/>
    <row r="612" ht="14.25" x14ac:dyDescent="0.25"/>
    <row r="613" ht="14.25" x14ac:dyDescent="0.25"/>
    <row r="614" ht="14.25" x14ac:dyDescent="0.25"/>
    <row r="615" ht="14.25" x14ac:dyDescent="0.25"/>
    <row r="616" ht="14.25" x14ac:dyDescent="0.25"/>
    <row r="617" ht="14.25" x14ac:dyDescent="0.25"/>
    <row r="618" ht="14.25" x14ac:dyDescent="0.25"/>
    <row r="619" ht="14.25" x14ac:dyDescent="0.25"/>
    <row r="620" ht="14.25" x14ac:dyDescent="0.25"/>
    <row r="621" ht="14.25" x14ac:dyDescent="0.25"/>
    <row r="622" ht="14.25" x14ac:dyDescent="0.25"/>
    <row r="623" ht="14.25" x14ac:dyDescent="0.25"/>
    <row r="624" ht="14.25" x14ac:dyDescent="0.25"/>
    <row r="625" ht="14.25" x14ac:dyDescent="0.25"/>
    <row r="626" ht="14.25" x14ac:dyDescent="0.25"/>
    <row r="627" ht="14.25" x14ac:dyDescent="0.25"/>
    <row r="628" ht="14.25" x14ac:dyDescent="0.25"/>
    <row r="629" ht="14.25" x14ac:dyDescent="0.25"/>
    <row r="630" ht="14.25" x14ac:dyDescent="0.25"/>
    <row r="631" ht="14.25" x14ac:dyDescent="0.25"/>
    <row r="632" ht="14.25" x14ac:dyDescent="0.25"/>
    <row r="633" ht="14.25" x14ac:dyDescent="0.25"/>
    <row r="634" ht="14.25" x14ac:dyDescent="0.25"/>
    <row r="635" ht="14.25" x14ac:dyDescent="0.25"/>
    <row r="636" ht="14.25" x14ac:dyDescent="0.25"/>
    <row r="637" ht="14.25" x14ac:dyDescent="0.25"/>
    <row r="638" ht="14.25" x14ac:dyDescent="0.25"/>
    <row r="639" ht="14.25" x14ac:dyDescent="0.25"/>
    <row r="640" ht="14.25" x14ac:dyDescent="0.25"/>
    <row r="641" ht="14.25" x14ac:dyDescent="0.25"/>
    <row r="642" ht="14.25" x14ac:dyDescent="0.25"/>
    <row r="643" ht="14.25" x14ac:dyDescent="0.25"/>
    <row r="644" ht="14.25" x14ac:dyDescent="0.25"/>
    <row r="645" ht="14.25" x14ac:dyDescent="0.25"/>
    <row r="646" ht="14.25" x14ac:dyDescent="0.25"/>
    <row r="647" ht="14.25" x14ac:dyDescent="0.25"/>
    <row r="648" ht="14.25" x14ac:dyDescent="0.25"/>
    <row r="649" ht="14.25" x14ac:dyDescent="0.25"/>
    <row r="650" ht="14.25" x14ac:dyDescent="0.25"/>
    <row r="651" ht="14.25" x14ac:dyDescent="0.25"/>
    <row r="652" ht="14.25" x14ac:dyDescent="0.25"/>
    <row r="653" ht="14.25" x14ac:dyDescent="0.25"/>
    <row r="654" ht="14.25" x14ac:dyDescent="0.25"/>
    <row r="655" ht="14.25" x14ac:dyDescent="0.25"/>
    <row r="656" ht="14.25" x14ac:dyDescent="0.25"/>
    <row r="657" ht="14.25" x14ac:dyDescent="0.25"/>
    <row r="658" ht="14.25" x14ac:dyDescent="0.25"/>
    <row r="659" ht="14.25" x14ac:dyDescent="0.25"/>
    <row r="660" ht="14.25" x14ac:dyDescent="0.25"/>
    <row r="661" ht="14.25" x14ac:dyDescent="0.25"/>
    <row r="662" ht="14.25" x14ac:dyDescent="0.25"/>
    <row r="663" ht="14.25" x14ac:dyDescent="0.25"/>
    <row r="664" ht="14.25" x14ac:dyDescent="0.25"/>
    <row r="665" ht="14.25" x14ac:dyDescent="0.25"/>
    <row r="666" ht="14.25" x14ac:dyDescent="0.25"/>
    <row r="667" ht="14.25" x14ac:dyDescent="0.25"/>
    <row r="668" ht="14.25" x14ac:dyDescent="0.25"/>
    <row r="669" ht="14.25" x14ac:dyDescent="0.25"/>
    <row r="670" ht="14.25" x14ac:dyDescent="0.25"/>
    <row r="671" ht="14.25" x14ac:dyDescent="0.25"/>
    <row r="672" ht="14.25" x14ac:dyDescent="0.25"/>
    <row r="673" ht="14.25" x14ac:dyDescent="0.25"/>
    <row r="674" ht="14.25" x14ac:dyDescent="0.25"/>
    <row r="675" ht="14.25" x14ac:dyDescent="0.25"/>
    <row r="676" ht="14.25" x14ac:dyDescent="0.25"/>
    <row r="677" ht="14.25" x14ac:dyDescent="0.25"/>
    <row r="678" ht="14.25" x14ac:dyDescent="0.25"/>
    <row r="679" ht="14.25" x14ac:dyDescent="0.25"/>
    <row r="680" ht="14.25" x14ac:dyDescent="0.25"/>
    <row r="681" ht="14.25" x14ac:dyDescent="0.25"/>
    <row r="682" ht="14.25" x14ac:dyDescent="0.25"/>
    <row r="683" ht="14.25" x14ac:dyDescent="0.25"/>
    <row r="684" ht="14.25" x14ac:dyDescent="0.25"/>
    <row r="685" ht="14.25" x14ac:dyDescent="0.25"/>
    <row r="686" ht="14.25" x14ac:dyDescent="0.25"/>
    <row r="687" ht="14.25" x14ac:dyDescent="0.25"/>
    <row r="688" ht="14.25" x14ac:dyDescent="0.25"/>
    <row r="689" ht="14.25" x14ac:dyDescent="0.25"/>
    <row r="690" ht="14.25" x14ac:dyDescent="0.25"/>
    <row r="691" ht="14.25" x14ac:dyDescent="0.25"/>
    <row r="692" ht="14.25" x14ac:dyDescent="0.25"/>
    <row r="693" ht="14.25" x14ac:dyDescent="0.25"/>
    <row r="694" ht="14.25" x14ac:dyDescent="0.25"/>
    <row r="695" ht="14.25" x14ac:dyDescent="0.25"/>
    <row r="696" ht="14.25" x14ac:dyDescent="0.25"/>
    <row r="697" ht="14.25" x14ac:dyDescent="0.25"/>
    <row r="698" ht="14.25" x14ac:dyDescent="0.25"/>
    <row r="699" ht="14.25" x14ac:dyDescent="0.25"/>
    <row r="700" ht="14.25" x14ac:dyDescent="0.25"/>
    <row r="701" ht="14.25" x14ac:dyDescent="0.25"/>
    <row r="702" ht="14.25" x14ac:dyDescent="0.25"/>
    <row r="703" ht="14.25" x14ac:dyDescent="0.25"/>
    <row r="704" ht="14.25" x14ac:dyDescent="0.25"/>
    <row r="705" ht="14.25" x14ac:dyDescent="0.25"/>
    <row r="706" ht="14.25" x14ac:dyDescent="0.25"/>
    <row r="707" ht="14.25" x14ac:dyDescent="0.25"/>
    <row r="708" ht="14.25" x14ac:dyDescent="0.25"/>
    <row r="709" ht="14.25" x14ac:dyDescent="0.25"/>
    <row r="710" ht="14.25" x14ac:dyDescent="0.25"/>
    <row r="711" ht="14.25" x14ac:dyDescent="0.25"/>
    <row r="712" ht="14.25" x14ac:dyDescent="0.25"/>
    <row r="713" ht="14.25" x14ac:dyDescent="0.25"/>
    <row r="714" ht="14.25" x14ac:dyDescent="0.25"/>
    <row r="715" ht="14.25" x14ac:dyDescent="0.25"/>
    <row r="716" ht="14.25" x14ac:dyDescent="0.25"/>
    <row r="717" ht="14.25" x14ac:dyDescent="0.25"/>
    <row r="718" ht="14.25" x14ac:dyDescent="0.25"/>
    <row r="719" ht="14.25" x14ac:dyDescent="0.25"/>
    <row r="720" ht="14.25" x14ac:dyDescent="0.25"/>
    <row r="721" ht="14.25" x14ac:dyDescent="0.25"/>
    <row r="722" ht="14.25" x14ac:dyDescent="0.25"/>
    <row r="723" ht="14.25" x14ac:dyDescent="0.25"/>
    <row r="724" ht="14.25" x14ac:dyDescent="0.25"/>
    <row r="725" ht="14.25" x14ac:dyDescent="0.25"/>
    <row r="726" ht="14.25" x14ac:dyDescent="0.25"/>
    <row r="727" ht="14.25" x14ac:dyDescent="0.25"/>
    <row r="728" ht="14.25" x14ac:dyDescent="0.25"/>
    <row r="729" ht="14.25" x14ac:dyDescent="0.25"/>
    <row r="730" ht="14.25" x14ac:dyDescent="0.25"/>
    <row r="731" ht="14.25" x14ac:dyDescent="0.25"/>
    <row r="732" ht="14.25" x14ac:dyDescent="0.25"/>
    <row r="733" ht="14.25" x14ac:dyDescent="0.25"/>
    <row r="734" ht="14.25" x14ac:dyDescent="0.25"/>
    <row r="735" ht="14.25" x14ac:dyDescent="0.25"/>
    <row r="736" ht="14.25" x14ac:dyDescent="0.25"/>
    <row r="737" ht="14.25" x14ac:dyDescent="0.25"/>
    <row r="738" ht="14.25" x14ac:dyDescent="0.25"/>
    <row r="739" ht="14.25" x14ac:dyDescent="0.25"/>
    <row r="740" ht="14.25" x14ac:dyDescent="0.25"/>
    <row r="741" ht="14.25" x14ac:dyDescent="0.25"/>
    <row r="742" ht="14.25" x14ac:dyDescent="0.25"/>
    <row r="743" ht="14.25" x14ac:dyDescent="0.25"/>
    <row r="744" ht="14.25" x14ac:dyDescent="0.25"/>
    <row r="745" ht="14.25" x14ac:dyDescent="0.25"/>
    <row r="746" ht="14.25" x14ac:dyDescent="0.25"/>
    <row r="747" ht="14.25" x14ac:dyDescent="0.25"/>
    <row r="748" ht="14.25" x14ac:dyDescent="0.25"/>
    <row r="749" ht="14.25" x14ac:dyDescent="0.25"/>
    <row r="750" ht="14.25" x14ac:dyDescent="0.25"/>
    <row r="751" ht="14.25" x14ac:dyDescent="0.25"/>
    <row r="752" ht="14.25" x14ac:dyDescent="0.25"/>
    <row r="753" ht="14.25" x14ac:dyDescent="0.25"/>
    <row r="754" ht="14.25" x14ac:dyDescent="0.25"/>
    <row r="755" ht="14.25" x14ac:dyDescent="0.25"/>
    <row r="756" ht="14.25" x14ac:dyDescent="0.25"/>
    <row r="757" ht="14.25" x14ac:dyDescent="0.25"/>
    <row r="758" ht="14.25" x14ac:dyDescent="0.25"/>
    <row r="759" ht="14.25" x14ac:dyDescent="0.25"/>
    <row r="760" ht="14.25" x14ac:dyDescent="0.25"/>
    <row r="761" ht="14.25" x14ac:dyDescent="0.25"/>
    <row r="762" ht="14.25" x14ac:dyDescent="0.25"/>
    <row r="763" ht="14.25" x14ac:dyDescent="0.25"/>
    <row r="764" ht="14.25" x14ac:dyDescent="0.25"/>
    <row r="765" ht="14.25" x14ac:dyDescent="0.25"/>
    <row r="766" ht="14.25" x14ac:dyDescent="0.25"/>
    <row r="767" ht="14.25" x14ac:dyDescent="0.25"/>
    <row r="768" ht="14.25" x14ac:dyDescent="0.25"/>
    <row r="769" ht="14.25" x14ac:dyDescent="0.25"/>
    <row r="770" ht="14.25" x14ac:dyDescent="0.25"/>
    <row r="771" ht="14.25" x14ac:dyDescent="0.25"/>
    <row r="772" ht="14.25" x14ac:dyDescent="0.25"/>
    <row r="773" ht="14.25" x14ac:dyDescent="0.25"/>
    <row r="774" ht="14.25" x14ac:dyDescent="0.25"/>
    <row r="775" ht="14.25" x14ac:dyDescent="0.25"/>
    <row r="776" ht="14.25" x14ac:dyDescent="0.25"/>
    <row r="777" ht="14.25" x14ac:dyDescent="0.25"/>
    <row r="778" ht="14.25" x14ac:dyDescent="0.25"/>
    <row r="779" ht="14.25" x14ac:dyDescent="0.25"/>
    <row r="780" ht="14.25" x14ac:dyDescent="0.25"/>
    <row r="781" ht="14.25" x14ac:dyDescent="0.25"/>
    <row r="782" ht="14.25" x14ac:dyDescent="0.25"/>
    <row r="783" ht="14.25" x14ac:dyDescent="0.25"/>
    <row r="784" ht="14.25" x14ac:dyDescent="0.25"/>
    <row r="785" ht="14.25" x14ac:dyDescent="0.25"/>
    <row r="786" ht="14.25" x14ac:dyDescent="0.25"/>
    <row r="787" ht="14.25" x14ac:dyDescent="0.25"/>
    <row r="788" ht="14.25" x14ac:dyDescent="0.25"/>
    <row r="789" ht="14.25" x14ac:dyDescent="0.25"/>
    <row r="790" ht="14.25" x14ac:dyDescent="0.25"/>
    <row r="791" ht="14.25" x14ac:dyDescent="0.25"/>
    <row r="792" ht="14.25" x14ac:dyDescent="0.25"/>
    <row r="793" ht="14.25" x14ac:dyDescent="0.25"/>
    <row r="794" ht="14.25" x14ac:dyDescent="0.25"/>
    <row r="795" ht="14.25" x14ac:dyDescent="0.25"/>
    <row r="796" ht="14.25" x14ac:dyDescent="0.25"/>
    <row r="797" ht="14.25" x14ac:dyDescent="0.25"/>
    <row r="798" ht="14.25" x14ac:dyDescent="0.25"/>
    <row r="799" ht="14.25" x14ac:dyDescent="0.25"/>
    <row r="800" ht="14.25" x14ac:dyDescent="0.25"/>
    <row r="801" ht="14.25" x14ac:dyDescent="0.25"/>
    <row r="802" ht="14.25" x14ac:dyDescent="0.25"/>
    <row r="803" ht="14.25" x14ac:dyDescent="0.25"/>
    <row r="804" ht="14.25" x14ac:dyDescent="0.25"/>
    <row r="805" ht="14.25" x14ac:dyDescent="0.25"/>
    <row r="806" ht="14.25" x14ac:dyDescent="0.25"/>
    <row r="807" ht="14.25" x14ac:dyDescent="0.25"/>
    <row r="808" ht="14.25" x14ac:dyDescent="0.25"/>
    <row r="809" ht="14.25" x14ac:dyDescent="0.25"/>
    <row r="810" ht="14.25" x14ac:dyDescent="0.25"/>
    <row r="811" ht="14.25" x14ac:dyDescent="0.25"/>
    <row r="812" ht="14.25" x14ac:dyDescent="0.25"/>
    <row r="813" ht="14.25" x14ac:dyDescent="0.25"/>
    <row r="814" ht="14.25" x14ac:dyDescent="0.25"/>
    <row r="815" ht="14.25" x14ac:dyDescent="0.25"/>
    <row r="816" ht="14.25" x14ac:dyDescent="0.25"/>
    <row r="817" ht="14.25" x14ac:dyDescent="0.25"/>
    <row r="818" ht="14.25" x14ac:dyDescent="0.25"/>
    <row r="819" ht="14.25" x14ac:dyDescent="0.25"/>
    <row r="820" ht="14.25" x14ac:dyDescent="0.25"/>
    <row r="821" ht="14.25" x14ac:dyDescent="0.25"/>
    <row r="822" ht="14.25" x14ac:dyDescent="0.25"/>
    <row r="823" ht="14.25" x14ac:dyDescent="0.25"/>
    <row r="824" ht="14.25" x14ac:dyDescent="0.25"/>
    <row r="825" ht="14.25" x14ac:dyDescent="0.25"/>
    <row r="826" ht="14.25" x14ac:dyDescent="0.25"/>
    <row r="827" ht="14.25" x14ac:dyDescent="0.25"/>
    <row r="828" ht="14.25" x14ac:dyDescent="0.25"/>
    <row r="829" ht="14.25" x14ac:dyDescent="0.25"/>
    <row r="830" ht="14.25" x14ac:dyDescent="0.25"/>
    <row r="831" ht="14.25" x14ac:dyDescent="0.25"/>
    <row r="832" ht="14.25" x14ac:dyDescent="0.25"/>
    <row r="833" ht="14.25" x14ac:dyDescent="0.25"/>
    <row r="834" ht="14.25" x14ac:dyDescent="0.25"/>
    <row r="835" ht="14.25" x14ac:dyDescent="0.25"/>
  </sheetData>
  <mergeCells count="12">
    <mergeCell ref="G1:H1"/>
    <mergeCell ref="A2:H2"/>
    <mergeCell ref="A3:H3"/>
    <mergeCell ref="G4:H4"/>
    <mergeCell ref="B6:C6"/>
    <mergeCell ref="F348:H348"/>
    <mergeCell ref="F356:H356"/>
    <mergeCell ref="F349:H349"/>
    <mergeCell ref="F350:H350"/>
    <mergeCell ref="A348:D348"/>
    <mergeCell ref="A350:D350"/>
    <mergeCell ref="A349:D349"/>
  </mergeCells>
  <printOptions horizontalCentered="1"/>
  <pageMargins left="0.57999999999999996" right="0.39370078740157499" top="0.59055118110236204" bottom="0.55118110236220497" header="0.43307086614173201" footer="0.31496062992126"/>
  <pageSetup paperSize="9" scale="86" firstPageNumber="41" orientation="portrait" useFirstPageNumber="1" r:id="rId1"/>
  <headerFoot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39997558519241921"/>
  </sheetPr>
  <dimension ref="A1:I1038"/>
  <sheetViews>
    <sheetView view="pageBreakPreview" topLeftCell="A1025" zoomScaleNormal="100" zoomScaleSheetLayoutView="100" workbookViewId="0">
      <selection activeCell="A1028" sqref="A1028:XFD1038"/>
    </sheetView>
  </sheetViews>
  <sheetFormatPr defaultRowHeight="15.75" x14ac:dyDescent="0.25"/>
  <cols>
    <col min="1" max="1" width="11.28515625" style="1714" customWidth="1"/>
    <col min="2" max="2" width="12.42578125" style="2009" customWidth="1"/>
    <col min="3" max="6" width="12.42578125" style="2019" customWidth="1"/>
    <col min="7" max="8" width="21.140625" style="2020" customWidth="1"/>
    <col min="9" max="9" width="16.28515625" style="2020" customWidth="1"/>
    <col min="10" max="255" width="9.140625" style="2020"/>
    <col min="256" max="256" width="11.28515625" style="2020" customWidth="1"/>
    <col min="257" max="259" width="11.42578125" style="2020" customWidth="1"/>
    <col min="260" max="260" width="12" style="2020" customWidth="1"/>
    <col min="261" max="261" width="12.28515625" style="2020" customWidth="1"/>
    <col min="262" max="262" width="21.140625" style="2020" customWidth="1"/>
    <col min="263" max="263" width="18.28515625" style="2020" customWidth="1"/>
    <col min="264" max="264" width="14.42578125" style="2020" customWidth="1"/>
    <col min="265" max="265" width="16.28515625" style="2020" customWidth="1"/>
    <col min="266" max="511" width="9.140625" style="2020"/>
    <col min="512" max="512" width="11.28515625" style="2020" customWidth="1"/>
    <col min="513" max="515" width="11.42578125" style="2020" customWidth="1"/>
    <col min="516" max="516" width="12" style="2020" customWidth="1"/>
    <col min="517" max="517" width="12.28515625" style="2020" customWidth="1"/>
    <col min="518" max="518" width="21.140625" style="2020" customWidth="1"/>
    <col min="519" max="519" width="18.28515625" style="2020" customWidth="1"/>
    <col min="520" max="520" width="14.42578125" style="2020" customWidth="1"/>
    <col min="521" max="521" width="16.28515625" style="2020" customWidth="1"/>
    <col min="522" max="767" width="9.140625" style="2020"/>
    <col min="768" max="768" width="11.28515625" style="2020" customWidth="1"/>
    <col min="769" max="771" width="11.42578125" style="2020" customWidth="1"/>
    <col min="772" max="772" width="12" style="2020" customWidth="1"/>
    <col min="773" max="773" width="12.28515625" style="2020" customWidth="1"/>
    <col min="774" max="774" width="21.140625" style="2020" customWidth="1"/>
    <col min="775" max="775" width="18.28515625" style="2020" customWidth="1"/>
    <col min="776" max="776" width="14.42578125" style="2020" customWidth="1"/>
    <col min="777" max="777" width="16.28515625" style="2020" customWidth="1"/>
    <col min="778" max="1023" width="9.140625" style="2020"/>
    <col min="1024" max="1024" width="11.28515625" style="2020" customWidth="1"/>
    <col min="1025" max="1027" width="11.42578125" style="2020" customWidth="1"/>
    <col min="1028" max="1028" width="12" style="2020" customWidth="1"/>
    <col min="1029" max="1029" width="12.28515625" style="2020" customWidth="1"/>
    <col min="1030" max="1030" width="21.140625" style="2020" customWidth="1"/>
    <col min="1031" max="1031" width="18.28515625" style="2020" customWidth="1"/>
    <col min="1032" max="1032" width="14.42578125" style="2020" customWidth="1"/>
    <col min="1033" max="1033" width="16.28515625" style="2020" customWidth="1"/>
    <col min="1034" max="1279" width="9.140625" style="2020"/>
    <col min="1280" max="1280" width="11.28515625" style="2020" customWidth="1"/>
    <col min="1281" max="1283" width="11.42578125" style="2020" customWidth="1"/>
    <col min="1284" max="1284" width="12" style="2020" customWidth="1"/>
    <col min="1285" max="1285" width="12.28515625" style="2020" customWidth="1"/>
    <col min="1286" max="1286" width="21.140625" style="2020" customWidth="1"/>
    <col min="1287" max="1287" width="18.28515625" style="2020" customWidth="1"/>
    <col min="1288" max="1288" width="14.42578125" style="2020" customWidth="1"/>
    <col min="1289" max="1289" width="16.28515625" style="2020" customWidth="1"/>
    <col min="1290" max="1535" width="9.140625" style="2020"/>
    <col min="1536" max="1536" width="11.28515625" style="2020" customWidth="1"/>
    <col min="1537" max="1539" width="11.42578125" style="2020" customWidth="1"/>
    <col min="1540" max="1540" width="12" style="2020" customWidth="1"/>
    <col min="1541" max="1541" width="12.28515625" style="2020" customWidth="1"/>
    <col min="1542" max="1542" width="21.140625" style="2020" customWidth="1"/>
    <col min="1543" max="1543" width="18.28515625" style="2020" customWidth="1"/>
    <col min="1544" max="1544" width="14.42578125" style="2020" customWidth="1"/>
    <col min="1545" max="1545" width="16.28515625" style="2020" customWidth="1"/>
    <col min="1546" max="1791" width="9.140625" style="2020"/>
    <col min="1792" max="1792" width="11.28515625" style="2020" customWidth="1"/>
    <col min="1793" max="1795" width="11.42578125" style="2020" customWidth="1"/>
    <col min="1796" max="1796" width="12" style="2020" customWidth="1"/>
    <col min="1797" max="1797" width="12.28515625" style="2020" customWidth="1"/>
    <col min="1798" max="1798" width="21.140625" style="2020" customWidth="1"/>
    <col min="1799" max="1799" width="18.28515625" style="2020" customWidth="1"/>
    <col min="1800" max="1800" width="14.42578125" style="2020" customWidth="1"/>
    <col min="1801" max="1801" width="16.28515625" style="2020" customWidth="1"/>
    <col min="1802" max="2047" width="9.140625" style="2020"/>
    <col min="2048" max="2048" width="11.28515625" style="2020" customWidth="1"/>
    <col min="2049" max="2051" width="11.42578125" style="2020" customWidth="1"/>
    <col min="2052" max="2052" width="12" style="2020" customWidth="1"/>
    <col min="2053" max="2053" width="12.28515625" style="2020" customWidth="1"/>
    <col min="2054" max="2054" width="21.140625" style="2020" customWidth="1"/>
    <col min="2055" max="2055" width="18.28515625" style="2020" customWidth="1"/>
    <col min="2056" max="2056" width="14.42578125" style="2020" customWidth="1"/>
    <col min="2057" max="2057" width="16.28515625" style="2020" customWidth="1"/>
    <col min="2058" max="2303" width="9.140625" style="2020"/>
    <col min="2304" max="2304" width="11.28515625" style="2020" customWidth="1"/>
    <col min="2305" max="2307" width="11.42578125" style="2020" customWidth="1"/>
    <col min="2308" max="2308" width="12" style="2020" customWidth="1"/>
    <col min="2309" max="2309" width="12.28515625" style="2020" customWidth="1"/>
    <col min="2310" max="2310" width="21.140625" style="2020" customWidth="1"/>
    <col min="2311" max="2311" width="18.28515625" style="2020" customWidth="1"/>
    <col min="2312" max="2312" width="14.42578125" style="2020" customWidth="1"/>
    <col min="2313" max="2313" width="16.28515625" style="2020" customWidth="1"/>
    <col min="2314" max="2559" width="9.140625" style="2020"/>
    <col min="2560" max="2560" width="11.28515625" style="2020" customWidth="1"/>
    <col min="2561" max="2563" width="11.42578125" style="2020" customWidth="1"/>
    <col min="2564" max="2564" width="12" style="2020" customWidth="1"/>
    <col min="2565" max="2565" width="12.28515625" style="2020" customWidth="1"/>
    <col min="2566" max="2566" width="21.140625" style="2020" customWidth="1"/>
    <col min="2567" max="2567" width="18.28515625" style="2020" customWidth="1"/>
    <col min="2568" max="2568" width="14.42578125" style="2020" customWidth="1"/>
    <col min="2569" max="2569" width="16.28515625" style="2020" customWidth="1"/>
    <col min="2570" max="2815" width="9.140625" style="2020"/>
    <col min="2816" max="2816" width="11.28515625" style="2020" customWidth="1"/>
    <col min="2817" max="2819" width="11.42578125" style="2020" customWidth="1"/>
    <col min="2820" max="2820" width="12" style="2020" customWidth="1"/>
    <col min="2821" max="2821" width="12.28515625" style="2020" customWidth="1"/>
    <col min="2822" max="2822" width="21.140625" style="2020" customWidth="1"/>
    <col min="2823" max="2823" width="18.28515625" style="2020" customWidth="1"/>
    <col min="2824" max="2824" width="14.42578125" style="2020" customWidth="1"/>
    <col min="2825" max="2825" width="16.28515625" style="2020" customWidth="1"/>
    <col min="2826" max="3071" width="9.140625" style="2020"/>
    <col min="3072" max="3072" width="11.28515625" style="2020" customWidth="1"/>
    <col min="3073" max="3075" width="11.42578125" style="2020" customWidth="1"/>
    <col min="3076" max="3076" width="12" style="2020" customWidth="1"/>
    <col min="3077" max="3077" width="12.28515625" style="2020" customWidth="1"/>
    <col min="3078" max="3078" width="21.140625" style="2020" customWidth="1"/>
    <col min="3079" max="3079" width="18.28515625" style="2020" customWidth="1"/>
    <col min="3080" max="3080" width="14.42578125" style="2020" customWidth="1"/>
    <col min="3081" max="3081" width="16.28515625" style="2020" customWidth="1"/>
    <col min="3082" max="3327" width="9.140625" style="2020"/>
    <col min="3328" max="3328" width="11.28515625" style="2020" customWidth="1"/>
    <col min="3329" max="3331" width="11.42578125" style="2020" customWidth="1"/>
    <col min="3332" max="3332" width="12" style="2020" customWidth="1"/>
    <col min="3333" max="3333" width="12.28515625" style="2020" customWidth="1"/>
    <col min="3334" max="3334" width="21.140625" style="2020" customWidth="1"/>
    <col min="3335" max="3335" width="18.28515625" style="2020" customWidth="1"/>
    <col min="3336" max="3336" width="14.42578125" style="2020" customWidth="1"/>
    <col min="3337" max="3337" width="16.28515625" style="2020" customWidth="1"/>
    <col min="3338" max="3583" width="9.140625" style="2020"/>
    <col min="3584" max="3584" width="11.28515625" style="2020" customWidth="1"/>
    <col min="3585" max="3587" width="11.42578125" style="2020" customWidth="1"/>
    <col min="3588" max="3588" width="12" style="2020" customWidth="1"/>
    <col min="3589" max="3589" width="12.28515625" style="2020" customWidth="1"/>
    <col min="3590" max="3590" width="21.140625" style="2020" customWidth="1"/>
    <col min="3591" max="3591" width="18.28515625" style="2020" customWidth="1"/>
    <col min="3592" max="3592" width="14.42578125" style="2020" customWidth="1"/>
    <col min="3593" max="3593" width="16.28515625" style="2020" customWidth="1"/>
    <col min="3594" max="3839" width="9.140625" style="2020"/>
    <col min="3840" max="3840" width="11.28515625" style="2020" customWidth="1"/>
    <col min="3841" max="3843" width="11.42578125" style="2020" customWidth="1"/>
    <col min="3844" max="3844" width="12" style="2020" customWidth="1"/>
    <col min="3845" max="3845" width="12.28515625" style="2020" customWidth="1"/>
    <col min="3846" max="3846" width="21.140625" style="2020" customWidth="1"/>
    <col min="3847" max="3847" width="18.28515625" style="2020" customWidth="1"/>
    <col min="3848" max="3848" width="14.42578125" style="2020" customWidth="1"/>
    <col min="3849" max="3849" width="16.28515625" style="2020" customWidth="1"/>
    <col min="3850" max="4095" width="9.140625" style="2020"/>
    <col min="4096" max="4096" width="11.28515625" style="2020" customWidth="1"/>
    <col min="4097" max="4099" width="11.42578125" style="2020" customWidth="1"/>
    <col min="4100" max="4100" width="12" style="2020" customWidth="1"/>
    <col min="4101" max="4101" width="12.28515625" style="2020" customWidth="1"/>
    <col min="4102" max="4102" width="21.140625" style="2020" customWidth="1"/>
    <col min="4103" max="4103" width="18.28515625" style="2020" customWidth="1"/>
    <col min="4104" max="4104" width="14.42578125" style="2020" customWidth="1"/>
    <col min="4105" max="4105" width="16.28515625" style="2020" customWidth="1"/>
    <col min="4106" max="4351" width="9.140625" style="2020"/>
    <col min="4352" max="4352" width="11.28515625" style="2020" customWidth="1"/>
    <col min="4353" max="4355" width="11.42578125" style="2020" customWidth="1"/>
    <col min="4356" max="4356" width="12" style="2020" customWidth="1"/>
    <col min="4357" max="4357" width="12.28515625" style="2020" customWidth="1"/>
    <col min="4358" max="4358" width="21.140625" style="2020" customWidth="1"/>
    <col min="4359" max="4359" width="18.28515625" style="2020" customWidth="1"/>
    <col min="4360" max="4360" width="14.42578125" style="2020" customWidth="1"/>
    <col min="4361" max="4361" width="16.28515625" style="2020" customWidth="1"/>
    <col min="4362" max="4607" width="9.140625" style="2020"/>
    <col min="4608" max="4608" width="11.28515625" style="2020" customWidth="1"/>
    <col min="4609" max="4611" width="11.42578125" style="2020" customWidth="1"/>
    <col min="4612" max="4612" width="12" style="2020" customWidth="1"/>
    <col min="4613" max="4613" width="12.28515625" style="2020" customWidth="1"/>
    <col min="4614" max="4614" width="21.140625" style="2020" customWidth="1"/>
    <col min="4615" max="4615" width="18.28515625" style="2020" customWidth="1"/>
    <col min="4616" max="4616" width="14.42578125" style="2020" customWidth="1"/>
    <col min="4617" max="4617" width="16.28515625" style="2020" customWidth="1"/>
    <col min="4618" max="4863" width="9.140625" style="2020"/>
    <col min="4864" max="4864" width="11.28515625" style="2020" customWidth="1"/>
    <col min="4865" max="4867" width="11.42578125" style="2020" customWidth="1"/>
    <col min="4868" max="4868" width="12" style="2020" customWidth="1"/>
    <col min="4869" max="4869" width="12.28515625" style="2020" customWidth="1"/>
    <col min="4870" max="4870" width="21.140625" style="2020" customWidth="1"/>
    <col min="4871" max="4871" width="18.28515625" style="2020" customWidth="1"/>
    <col min="4872" max="4872" width="14.42578125" style="2020" customWidth="1"/>
    <col min="4873" max="4873" width="16.28515625" style="2020" customWidth="1"/>
    <col min="4874" max="5119" width="9.140625" style="2020"/>
    <col min="5120" max="5120" width="11.28515625" style="2020" customWidth="1"/>
    <col min="5121" max="5123" width="11.42578125" style="2020" customWidth="1"/>
    <col min="5124" max="5124" width="12" style="2020" customWidth="1"/>
    <col min="5125" max="5125" width="12.28515625" style="2020" customWidth="1"/>
    <col min="5126" max="5126" width="21.140625" style="2020" customWidth="1"/>
    <col min="5127" max="5127" width="18.28515625" style="2020" customWidth="1"/>
    <col min="5128" max="5128" width="14.42578125" style="2020" customWidth="1"/>
    <col min="5129" max="5129" width="16.28515625" style="2020" customWidth="1"/>
    <col min="5130" max="5375" width="9.140625" style="2020"/>
    <col min="5376" max="5376" width="11.28515625" style="2020" customWidth="1"/>
    <col min="5377" max="5379" width="11.42578125" style="2020" customWidth="1"/>
    <col min="5380" max="5380" width="12" style="2020" customWidth="1"/>
    <col min="5381" max="5381" width="12.28515625" style="2020" customWidth="1"/>
    <col min="5382" max="5382" width="21.140625" style="2020" customWidth="1"/>
    <col min="5383" max="5383" width="18.28515625" style="2020" customWidth="1"/>
    <col min="5384" max="5384" width="14.42578125" style="2020" customWidth="1"/>
    <col min="5385" max="5385" width="16.28515625" style="2020" customWidth="1"/>
    <col min="5386" max="5631" width="9.140625" style="2020"/>
    <col min="5632" max="5632" width="11.28515625" style="2020" customWidth="1"/>
    <col min="5633" max="5635" width="11.42578125" style="2020" customWidth="1"/>
    <col min="5636" max="5636" width="12" style="2020" customWidth="1"/>
    <col min="5637" max="5637" width="12.28515625" style="2020" customWidth="1"/>
    <col min="5638" max="5638" width="21.140625" style="2020" customWidth="1"/>
    <col min="5639" max="5639" width="18.28515625" style="2020" customWidth="1"/>
    <col min="5640" max="5640" width="14.42578125" style="2020" customWidth="1"/>
    <col min="5641" max="5641" width="16.28515625" style="2020" customWidth="1"/>
    <col min="5642" max="5887" width="9.140625" style="2020"/>
    <col min="5888" max="5888" width="11.28515625" style="2020" customWidth="1"/>
    <col min="5889" max="5891" width="11.42578125" style="2020" customWidth="1"/>
    <col min="5892" max="5892" width="12" style="2020" customWidth="1"/>
    <col min="5893" max="5893" width="12.28515625" style="2020" customWidth="1"/>
    <col min="5894" max="5894" width="21.140625" style="2020" customWidth="1"/>
    <col min="5895" max="5895" width="18.28515625" style="2020" customWidth="1"/>
    <col min="5896" max="5896" width="14.42578125" style="2020" customWidth="1"/>
    <col min="5897" max="5897" width="16.28515625" style="2020" customWidth="1"/>
    <col min="5898" max="6143" width="9.140625" style="2020"/>
    <col min="6144" max="6144" width="11.28515625" style="2020" customWidth="1"/>
    <col min="6145" max="6147" width="11.42578125" style="2020" customWidth="1"/>
    <col min="6148" max="6148" width="12" style="2020" customWidth="1"/>
    <col min="6149" max="6149" width="12.28515625" style="2020" customWidth="1"/>
    <col min="6150" max="6150" width="21.140625" style="2020" customWidth="1"/>
    <col min="6151" max="6151" width="18.28515625" style="2020" customWidth="1"/>
    <col min="6152" max="6152" width="14.42578125" style="2020" customWidth="1"/>
    <col min="6153" max="6153" width="16.28515625" style="2020" customWidth="1"/>
    <col min="6154" max="6399" width="9.140625" style="2020"/>
    <col min="6400" max="6400" width="11.28515625" style="2020" customWidth="1"/>
    <col min="6401" max="6403" width="11.42578125" style="2020" customWidth="1"/>
    <col min="6404" max="6404" width="12" style="2020" customWidth="1"/>
    <col min="6405" max="6405" width="12.28515625" style="2020" customWidth="1"/>
    <col min="6406" max="6406" width="21.140625" style="2020" customWidth="1"/>
    <col min="6407" max="6407" width="18.28515625" style="2020" customWidth="1"/>
    <col min="6408" max="6408" width="14.42578125" style="2020" customWidth="1"/>
    <col min="6409" max="6409" width="16.28515625" style="2020" customWidth="1"/>
    <col min="6410" max="6655" width="9.140625" style="2020"/>
    <col min="6656" max="6656" width="11.28515625" style="2020" customWidth="1"/>
    <col min="6657" max="6659" width="11.42578125" style="2020" customWidth="1"/>
    <col min="6660" max="6660" width="12" style="2020" customWidth="1"/>
    <col min="6661" max="6661" width="12.28515625" style="2020" customWidth="1"/>
    <col min="6662" max="6662" width="21.140625" style="2020" customWidth="1"/>
    <col min="6663" max="6663" width="18.28515625" style="2020" customWidth="1"/>
    <col min="6664" max="6664" width="14.42578125" style="2020" customWidth="1"/>
    <col min="6665" max="6665" width="16.28515625" style="2020" customWidth="1"/>
    <col min="6666" max="6911" width="9.140625" style="2020"/>
    <col min="6912" max="6912" width="11.28515625" style="2020" customWidth="1"/>
    <col min="6913" max="6915" width="11.42578125" style="2020" customWidth="1"/>
    <col min="6916" max="6916" width="12" style="2020" customWidth="1"/>
    <col min="6917" max="6917" width="12.28515625" style="2020" customWidth="1"/>
    <col min="6918" max="6918" width="21.140625" style="2020" customWidth="1"/>
    <col min="6919" max="6919" width="18.28515625" style="2020" customWidth="1"/>
    <col min="6920" max="6920" width="14.42578125" style="2020" customWidth="1"/>
    <col min="6921" max="6921" width="16.28515625" style="2020" customWidth="1"/>
    <col min="6922" max="7167" width="9.140625" style="2020"/>
    <col min="7168" max="7168" width="11.28515625" style="2020" customWidth="1"/>
    <col min="7169" max="7171" width="11.42578125" style="2020" customWidth="1"/>
    <col min="7172" max="7172" width="12" style="2020" customWidth="1"/>
    <col min="7173" max="7173" width="12.28515625" style="2020" customWidth="1"/>
    <col min="7174" max="7174" width="21.140625" style="2020" customWidth="1"/>
    <col min="7175" max="7175" width="18.28515625" style="2020" customWidth="1"/>
    <col min="7176" max="7176" width="14.42578125" style="2020" customWidth="1"/>
    <col min="7177" max="7177" width="16.28515625" style="2020" customWidth="1"/>
    <col min="7178" max="7423" width="9.140625" style="2020"/>
    <col min="7424" max="7424" width="11.28515625" style="2020" customWidth="1"/>
    <col min="7425" max="7427" width="11.42578125" style="2020" customWidth="1"/>
    <col min="7428" max="7428" width="12" style="2020" customWidth="1"/>
    <col min="7429" max="7429" width="12.28515625" style="2020" customWidth="1"/>
    <col min="7430" max="7430" width="21.140625" style="2020" customWidth="1"/>
    <col min="7431" max="7431" width="18.28515625" style="2020" customWidth="1"/>
    <col min="7432" max="7432" width="14.42578125" style="2020" customWidth="1"/>
    <col min="7433" max="7433" width="16.28515625" style="2020" customWidth="1"/>
    <col min="7434" max="7679" width="9.140625" style="2020"/>
    <col min="7680" max="7680" width="11.28515625" style="2020" customWidth="1"/>
    <col min="7681" max="7683" width="11.42578125" style="2020" customWidth="1"/>
    <col min="7684" max="7684" width="12" style="2020" customWidth="1"/>
    <col min="7685" max="7685" width="12.28515625" style="2020" customWidth="1"/>
    <col min="7686" max="7686" width="21.140625" style="2020" customWidth="1"/>
    <col min="7687" max="7687" width="18.28515625" style="2020" customWidth="1"/>
    <col min="7688" max="7688" width="14.42578125" style="2020" customWidth="1"/>
    <col min="7689" max="7689" width="16.28515625" style="2020" customWidth="1"/>
    <col min="7690" max="7935" width="9.140625" style="2020"/>
    <col min="7936" max="7936" width="11.28515625" style="2020" customWidth="1"/>
    <col min="7937" max="7939" width="11.42578125" style="2020" customWidth="1"/>
    <col min="7940" max="7940" width="12" style="2020" customWidth="1"/>
    <col min="7941" max="7941" width="12.28515625" style="2020" customWidth="1"/>
    <col min="7942" max="7942" width="21.140625" style="2020" customWidth="1"/>
    <col min="7943" max="7943" width="18.28515625" style="2020" customWidth="1"/>
    <col min="7944" max="7944" width="14.42578125" style="2020" customWidth="1"/>
    <col min="7945" max="7945" width="16.28515625" style="2020" customWidth="1"/>
    <col min="7946" max="8191" width="9.140625" style="2020"/>
    <col min="8192" max="8192" width="11.28515625" style="2020" customWidth="1"/>
    <col min="8193" max="8195" width="11.42578125" style="2020" customWidth="1"/>
    <col min="8196" max="8196" width="12" style="2020" customWidth="1"/>
    <col min="8197" max="8197" width="12.28515625" style="2020" customWidth="1"/>
    <col min="8198" max="8198" width="21.140625" style="2020" customWidth="1"/>
    <col min="8199" max="8199" width="18.28515625" style="2020" customWidth="1"/>
    <col min="8200" max="8200" width="14.42578125" style="2020" customWidth="1"/>
    <col min="8201" max="8201" width="16.28515625" style="2020" customWidth="1"/>
    <col min="8202" max="8447" width="9.140625" style="2020"/>
    <col min="8448" max="8448" width="11.28515625" style="2020" customWidth="1"/>
    <col min="8449" max="8451" width="11.42578125" style="2020" customWidth="1"/>
    <col min="8452" max="8452" width="12" style="2020" customWidth="1"/>
    <col min="8453" max="8453" width="12.28515625" style="2020" customWidth="1"/>
    <col min="8454" max="8454" width="21.140625" style="2020" customWidth="1"/>
    <col min="8455" max="8455" width="18.28515625" style="2020" customWidth="1"/>
    <col min="8456" max="8456" width="14.42578125" style="2020" customWidth="1"/>
    <col min="8457" max="8457" width="16.28515625" style="2020" customWidth="1"/>
    <col min="8458" max="8703" width="9.140625" style="2020"/>
    <col min="8704" max="8704" width="11.28515625" style="2020" customWidth="1"/>
    <col min="8705" max="8707" width="11.42578125" style="2020" customWidth="1"/>
    <col min="8708" max="8708" width="12" style="2020" customWidth="1"/>
    <col min="8709" max="8709" width="12.28515625" style="2020" customWidth="1"/>
    <col min="8710" max="8710" width="21.140625" style="2020" customWidth="1"/>
    <col min="8711" max="8711" width="18.28515625" style="2020" customWidth="1"/>
    <col min="8712" max="8712" width="14.42578125" style="2020" customWidth="1"/>
    <col min="8713" max="8713" width="16.28515625" style="2020" customWidth="1"/>
    <col min="8714" max="8959" width="9.140625" style="2020"/>
    <col min="8960" max="8960" width="11.28515625" style="2020" customWidth="1"/>
    <col min="8961" max="8963" width="11.42578125" style="2020" customWidth="1"/>
    <col min="8964" max="8964" width="12" style="2020" customWidth="1"/>
    <col min="8965" max="8965" width="12.28515625" style="2020" customWidth="1"/>
    <col min="8966" max="8966" width="21.140625" style="2020" customWidth="1"/>
    <col min="8967" max="8967" width="18.28515625" style="2020" customWidth="1"/>
    <col min="8968" max="8968" width="14.42578125" style="2020" customWidth="1"/>
    <col min="8969" max="8969" width="16.28515625" style="2020" customWidth="1"/>
    <col min="8970" max="9215" width="9.140625" style="2020"/>
    <col min="9216" max="9216" width="11.28515625" style="2020" customWidth="1"/>
    <col min="9217" max="9219" width="11.42578125" style="2020" customWidth="1"/>
    <col min="9220" max="9220" width="12" style="2020" customWidth="1"/>
    <col min="9221" max="9221" width="12.28515625" style="2020" customWidth="1"/>
    <col min="9222" max="9222" width="21.140625" style="2020" customWidth="1"/>
    <col min="9223" max="9223" width="18.28515625" style="2020" customWidth="1"/>
    <col min="9224" max="9224" width="14.42578125" style="2020" customWidth="1"/>
    <col min="9225" max="9225" width="16.28515625" style="2020" customWidth="1"/>
    <col min="9226" max="9471" width="9.140625" style="2020"/>
    <col min="9472" max="9472" width="11.28515625" style="2020" customWidth="1"/>
    <col min="9473" max="9475" width="11.42578125" style="2020" customWidth="1"/>
    <col min="9476" max="9476" width="12" style="2020" customWidth="1"/>
    <col min="9477" max="9477" width="12.28515625" style="2020" customWidth="1"/>
    <col min="9478" max="9478" width="21.140625" style="2020" customWidth="1"/>
    <col min="9479" max="9479" width="18.28515625" style="2020" customWidth="1"/>
    <col min="9480" max="9480" width="14.42578125" style="2020" customWidth="1"/>
    <col min="9481" max="9481" width="16.28515625" style="2020" customWidth="1"/>
    <col min="9482" max="9727" width="9.140625" style="2020"/>
    <col min="9728" max="9728" width="11.28515625" style="2020" customWidth="1"/>
    <col min="9729" max="9731" width="11.42578125" style="2020" customWidth="1"/>
    <col min="9732" max="9732" width="12" style="2020" customWidth="1"/>
    <col min="9733" max="9733" width="12.28515625" style="2020" customWidth="1"/>
    <col min="9734" max="9734" width="21.140625" style="2020" customWidth="1"/>
    <col min="9735" max="9735" width="18.28515625" style="2020" customWidth="1"/>
    <col min="9736" max="9736" width="14.42578125" style="2020" customWidth="1"/>
    <col min="9737" max="9737" width="16.28515625" style="2020" customWidth="1"/>
    <col min="9738" max="9983" width="9.140625" style="2020"/>
    <col min="9984" max="9984" width="11.28515625" style="2020" customWidth="1"/>
    <col min="9985" max="9987" width="11.42578125" style="2020" customWidth="1"/>
    <col min="9988" max="9988" width="12" style="2020" customWidth="1"/>
    <col min="9989" max="9989" width="12.28515625" style="2020" customWidth="1"/>
    <col min="9990" max="9990" width="21.140625" style="2020" customWidth="1"/>
    <col min="9991" max="9991" width="18.28515625" style="2020" customWidth="1"/>
    <col min="9992" max="9992" width="14.42578125" style="2020" customWidth="1"/>
    <col min="9993" max="9993" width="16.28515625" style="2020" customWidth="1"/>
    <col min="9994" max="10239" width="9.140625" style="2020"/>
    <col min="10240" max="10240" width="11.28515625" style="2020" customWidth="1"/>
    <col min="10241" max="10243" width="11.42578125" style="2020" customWidth="1"/>
    <col min="10244" max="10244" width="12" style="2020" customWidth="1"/>
    <col min="10245" max="10245" width="12.28515625" style="2020" customWidth="1"/>
    <col min="10246" max="10246" width="21.140625" style="2020" customWidth="1"/>
    <col min="10247" max="10247" width="18.28515625" style="2020" customWidth="1"/>
    <col min="10248" max="10248" width="14.42578125" style="2020" customWidth="1"/>
    <col min="10249" max="10249" width="16.28515625" style="2020" customWidth="1"/>
    <col min="10250" max="10495" width="9.140625" style="2020"/>
    <col min="10496" max="10496" width="11.28515625" style="2020" customWidth="1"/>
    <col min="10497" max="10499" width="11.42578125" style="2020" customWidth="1"/>
    <col min="10500" max="10500" width="12" style="2020" customWidth="1"/>
    <col min="10501" max="10501" width="12.28515625" style="2020" customWidth="1"/>
    <col min="10502" max="10502" width="21.140625" style="2020" customWidth="1"/>
    <col min="10503" max="10503" width="18.28515625" style="2020" customWidth="1"/>
    <col min="10504" max="10504" width="14.42578125" style="2020" customWidth="1"/>
    <col min="10505" max="10505" width="16.28515625" style="2020" customWidth="1"/>
    <col min="10506" max="10751" width="9.140625" style="2020"/>
    <col min="10752" max="10752" width="11.28515625" style="2020" customWidth="1"/>
    <col min="10753" max="10755" width="11.42578125" style="2020" customWidth="1"/>
    <col min="10756" max="10756" width="12" style="2020" customWidth="1"/>
    <col min="10757" max="10757" width="12.28515625" style="2020" customWidth="1"/>
    <col min="10758" max="10758" width="21.140625" style="2020" customWidth="1"/>
    <col min="10759" max="10759" width="18.28515625" style="2020" customWidth="1"/>
    <col min="10760" max="10760" width="14.42578125" style="2020" customWidth="1"/>
    <col min="10761" max="10761" width="16.28515625" style="2020" customWidth="1"/>
    <col min="10762" max="11007" width="9.140625" style="2020"/>
    <col min="11008" max="11008" width="11.28515625" style="2020" customWidth="1"/>
    <col min="11009" max="11011" width="11.42578125" style="2020" customWidth="1"/>
    <col min="11012" max="11012" width="12" style="2020" customWidth="1"/>
    <col min="11013" max="11013" width="12.28515625" style="2020" customWidth="1"/>
    <col min="11014" max="11014" width="21.140625" style="2020" customWidth="1"/>
    <col min="11015" max="11015" width="18.28515625" style="2020" customWidth="1"/>
    <col min="11016" max="11016" width="14.42578125" style="2020" customWidth="1"/>
    <col min="11017" max="11017" width="16.28515625" style="2020" customWidth="1"/>
    <col min="11018" max="11263" width="9.140625" style="2020"/>
    <col min="11264" max="11264" width="11.28515625" style="2020" customWidth="1"/>
    <col min="11265" max="11267" width="11.42578125" style="2020" customWidth="1"/>
    <col min="11268" max="11268" width="12" style="2020" customWidth="1"/>
    <col min="11269" max="11269" width="12.28515625" style="2020" customWidth="1"/>
    <col min="11270" max="11270" width="21.140625" style="2020" customWidth="1"/>
    <col min="11271" max="11271" width="18.28515625" style="2020" customWidth="1"/>
    <col min="11272" max="11272" width="14.42578125" style="2020" customWidth="1"/>
    <col min="11273" max="11273" width="16.28515625" style="2020" customWidth="1"/>
    <col min="11274" max="11519" width="9.140625" style="2020"/>
    <col min="11520" max="11520" width="11.28515625" style="2020" customWidth="1"/>
    <col min="11521" max="11523" width="11.42578125" style="2020" customWidth="1"/>
    <col min="11524" max="11524" width="12" style="2020" customWidth="1"/>
    <col min="11525" max="11525" width="12.28515625" style="2020" customWidth="1"/>
    <col min="11526" max="11526" width="21.140625" style="2020" customWidth="1"/>
    <col min="11527" max="11527" width="18.28515625" style="2020" customWidth="1"/>
    <col min="11528" max="11528" width="14.42578125" style="2020" customWidth="1"/>
    <col min="11529" max="11529" width="16.28515625" style="2020" customWidth="1"/>
    <col min="11530" max="11775" width="9.140625" style="2020"/>
    <col min="11776" max="11776" width="11.28515625" style="2020" customWidth="1"/>
    <col min="11777" max="11779" width="11.42578125" style="2020" customWidth="1"/>
    <col min="11780" max="11780" width="12" style="2020" customWidth="1"/>
    <col min="11781" max="11781" width="12.28515625" style="2020" customWidth="1"/>
    <col min="11782" max="11782" width="21.140625" style="2020" customWidth="1"/>
    <col min="11783" max="11783" width="18.28515625" style="2020" customWidth="1"/>
    <col min="11784" max="11784" width="14.42578125" style="2020" customWidth="1"/>
    <col min="11785" max="11785" width="16.28515625" style="2020" customWidth="1"/>
    <col min="11786" max="12031" width="9.140625" style="2020"/>
    <col min="12032" max="12032" width="11.28515625" style="2020" customWidth="1"/>
    <col min="12033" max="12035" width="11.42578125" style="2020" customWidth="1"/>
    <col min="12036" max="12036" width="12" style="2020" customWidth="1"/>
    <col min="12037" max="12037" width="12.28515625" style="2020" customWidth="1"/>
    <col min="12038" max="12038" width="21.140625" style="2020" customWidth="1"/>
    <col min="12039" max="12039" width="18.28515625" style="2020" customWidth="1"/>
    <col min="12040" max="12040" width="14.42578125" style="2020" customWidth="1"/>
    <col min="12041" max="12041" width="16.28515625" style="2020" customWidth="1"/>
    <col min="12042" max="12287" width="9.140625" style="2020"/>
    <col min="12288" max="12288" width="11.28515625" style="2020" customWidth="1"/>
    <col min="12289" max="12291" width="11.42578125" style="2020" customWidth="1"/>
    <col min="12292" max="12292" width="12" style="2020" customWidth="1"/>
    <col min="12293" max="12293" width="12.28515625" style="2020" customWidth="1"/>
    <col min="12294" max="12294" width="21.140625" style="2020" customWidth="1"/>
    <col min="12295" max="12295" width="18.28515625" style="2020" customWidth="1"/>
    <col min="12296" max="12296" width="14.42578125" style="2020" customWidth="1"/>
    <col min="12297" max="12297" width="16.28515625" style="2020" customWidth="1"/>
    <col min="12298" max="12543" width="9.140625" style="2020"/>
    <col min="12544" max="12544" width="11.28515625" style="2020" customWidth="1"/>
    <col min="12545" max="12547" width="11.42578125" style="2020" customWidth="1"/>
    <col min="12548" max="12548" width="12" style="2020" customWidth="1"/>
    <col min="12549" max="12549" width="12.28515625" style="2020" customWidth="1"/>
    <col min="12550" max="12550" width="21.140625" style="2020" customWidth="1"/>
    <col min="12551" max="12551" width="18.28515625" style="2020" customWidth="1"/>
    <col min="12552" max="12552" width="14.42578125" style="2020" customWidth="1"/>
    <col min="12553" max="12553" width="16.28515625" style="2020" customWidth="1"/>
    <col min="12554" max="12799" width="9.140625" style="2020"/>
    <col min="12800" max="12800" width="11.28515625" style="2020" customWidth="1"/>
    <col min="12801" max="12803" width="11.42578125" style="2020" customWidth="1"/>
    <col min="12804" max="12804" width="12" style="2020" customWidth="1"/>
    <col min="12805" max="12805" width="12.28515625" style="2020" customWidth="1"/>
    <col min="12806" max="12806" width="21.140625" style="2020" customWidth="1"/>
    <col min="12807" max="12807" width="18.28515625" style="2020" customWidth="1"/>
    <col min="12808" max="12808" width="14.42578125" style="2020" customWidth="1"/>
    <col min="12809" max="12809" width="16.28515625" style="2020" customWidth="1"/>
    <col min="12810" max="13055" width="9.140625" style="2020"/>
    <col min="13056" max="13056" width="11.28515625" style="2020" customWidth="1"/>
    <col min="13057" max="13059" width="11.42578125" style="2020" customWidth="1"/>
    <col min="13060" max="13060" width="12" style="2020" customWidth="1"/>
    <col min="13061" max="13061" width="12.28515625" style="2020" customWidth="1"/>
    <col min="13062" max="13062" width="21.140625" style="2020" customWidth="1"/>
    <col min="13063" max="13063" width="18.28515625" style="2020" customWidth="1"/>
    <col min="13064" max="13064" width="14.42578125" style="2020" customWidth="1"/>
    <col min="13065" max="13065" width="16.28515625" style="2020" customWidth="1"/>
    <col min="13066" max="13311" width="9.140625" style="2020"/>
    <col min="13312" max="13312" width="11.28515625" style="2020" customWidth="1"/>
    <col min="13313" max="13315" width="11.42578125" style="2020" customWidth="1"/>
    <col min="13316" max="13316" width="12" style="2020" customWidth="1"/>
    <col min="13317" max="13317" width="12.28515625" style="2020" customWidth="1"/>
    <col min="13318" max="13318" width="21.140625" style="2020" customWidth="1"/>
    <col min="13319" max="13319" width="18.28515625" style="2020" customWidth="1"/>
    <col min="13320" max="13320" width="14.42578125" style="2020" customWidth="1"/>
    <col min="13321" max="13321" width="16.28515625" style="2020" customWidth="1"/>
    <col min="13322" max="13567" width="9.140625" style="2020"/>
    <col min="13568" max="13568" width="11.28515625" style="2020" customWidth="1"/>
    <col min="13569" max="13571" width="11.42578125" style="2020" customWidth="1"/>
    <col min="13572" max="13572" width="12" style="2020" customWidth="1"/>
    <col min="13573" max="13573" width="12.28515625" style="2020" customWidth="1"/>
    <col min="13574" max="13574" width="21.140625" style="2020" customWidth="1"/>
    <col min="13575" max="13575" width="18.28515625" style="2020" customWidth="1"/>
    <col min="13576" max="13576" width="14.42578125" style="2020" customWidth="1"/>
    <col min="13577" max="13577" width="16.28515625" style="2020" customWidth="1"/>
    <col min="13578" max="13823" width="9.140625" style="2020"/>
    <col min="13824" max="13824" width="11.28515625" style="2020" customWidth="1"/>
    <col min="13825" max="13827" width="11.42578125" style="2020" customWidth="1"/>
    <col min="13828" max="13828" width="12" style="2020" customWidth="1"/>
    <col min="13829" max="13829" width="12.28515625" style="2020" customWidth="1"/>
    <col min="13830" max="13830" width="21.140625" style="2020" customWidth="1"/>
    <col min="13831" max="13831" width="18.28515625" style="2020" customWidth="1"/>
    <col min="13832" max="13832" width="14.42578125" style="2020" customWidth="1"/>
    <col min="13833" max="13833" width="16.28515625" style="2020" customWidth="1"/>
    <col min="13834" max="14079" width="9.140625" style="2020"/>
    <col min="14080" max="14080" width="11.28515625" style="2020" customWidth="1"/>
    <col min="14081" max="14083" width="11.42578125" style="2020" customWidth="1"/>
    <col min="14084" max="14084" width="12" style="2020" customWidth="1"/>
    <col min="14085" max="14085" width="12.28515625" style="2020" customWidth="1"/>
    <col min="14086" max="14086" width="21.140625" style="2020" customWidth="1"/>
    <col min="14087" max="14087" width="18.28515625" style="2020" customWidth="1"/>
    <col min="14088" max="14088" width="14.42578125" style="2020" customWidth="1"/>
    <col min="14089" max="14089" width="16.28515625" style="2020" customWidth="1"/>
    <col min="14090" max="14335" width="9.140625" style="2020"/>
    <col min="14336" max="14336" width="11.28515625" style="2020" customWidth="1"/>
    <col min="14337" max="14339" width="11.42578125" style="2020" customWidth="1"/>
    <col min="14340" max="14340" width="12" style="2020" customWidth="1"/>
    <col min="14341" max="14341" width="12.28515625" style="2020" customWidth="1"/>
    <col min="14342" max="14342" width="21.140625" style="2020" customWidth="1"/>
    <col min="14343" max="14343" width="18.28515625" style="2020" customWidth="1"/>
    <col min="14344" max="14344" width="14.42578125" style="2020" customWidth="1"/>
    <col min="14345" max="14345" width="16.28515625" style="2020" customWidth="1"/>
    <col min="14346" max="14591" width="9.140625" style="2020"/>
    <col min="14592" max="14592" width="11.28515625" style="2020" customWidth="1"/>
    <col min="14593" max="14595" width="11.42578125" style="2020" customWidth="1"/>
    <col min="14596" max="14596" width="12" style="2020" customWidth="1"/>
    <col min="14597" max="14597" width="12.28515625" style="2020" customWidth="1"/>
    <col min="14598" max="14598" width="21.140625" style="2020" customWidth="1"/>
    <col min="14599" max="14599" width="18.28515625" style="2020" customWidth="1"/>
    <col min="14600" max="14600" width="14.42578125" style="2020" customWidth="1"/>
    <col min="14601" max="14601" width="16.28515625" style="2020" customWidth="1"/>
    <col min="14602" max="14847" width="9.140625" style="2020"/>
    <col min="14848" max="14848" width="11.28515625" style="2020" customWidth="1"/>
    <col min="14849" max="14851" width="11.42578125" style="2020" customWidth="1"/>
    <col min="14852" max="14852" width="12" style="2020" customWidth="1"/>
    <col min="14853" max="14853" width="12.28515625" style="2020" customWidth="1"/>
    <col min="14854" max="14854" width="21.140625" style="2020" customWidth="1"/>
    <col min="14855" max="14855" width="18.28515625" style="2020" customWidth="1"/>
    <col min="14856" max="14856" width="14.42578125" style="2020" customWidth="1"/>
    <col min="14857" max="14857" width="16.28515625" style="2020" customWidth="1"/>
    <col min="14858" max="15103" width="9.140625" style="2020"/>
    <col min="15104" max="15104" width="11.28515625" style="2020" customWidth="1"/>
    <col min="15105" max="15107" width="11.42578125" style="2020" customWidth="1"/>
    <col min="15108" max="15108" width="12" style="2020" customWidth="1"/>
    <col min="15109" max="15109" width="12.28515625" style="2020" customWidth="1"/>
    <col min="15110" max="15110" width="21.140625" style="2020" customWidth="1"/>
    <col min="15111" max="15111" width="18.28515625" style="2020" customWidth="1"/>
    <col min="15112" max="15112" width="14.42578125" style="2020" customWidth="1"/>
    <col min="15113" max="15113" width="16.28515625" style="2020" customWidth="1"/>
    <col min="15114" max="15359" width="9.140625" style="2020"/>
    <col min="15360" max="15360" width="11.28515625" style="2020" customWidth="1"/>
    <col min="15361" max="15363" width="11.42578125" style="2020" customWidth="1"/>
    <col min="15364" max="15364" width="12" style="2020" customWidth="1"/>
    <col min="15365" max="15365" width="12.28515625" style="2020" customWidth="1"/>
    <col min="15366" max="15366" width="21.140625" style="2020" customWidth="1"/>
    <col min="15367" max="15367" width="18.28515625" style="2020" customWidth="1"/>
    <col min="15368" max="15368" width="14.42578125" style="2020" customWidth="1"/>
    <col min="15369" max="15369" width="16.28515625" style="2020" customWidth="1"/>
    <col min="15370" max="15615" width="9.140625" style="2020"/>
    <col min="15616" max="15616" width="11.28515625" style="2020" customWidth="1"/>
    <col min="15617" max="15619" width="11.42578125" style="2020" customWidth="1"/>
    <col min="15620" max="15620" width="12" style="2020" customWidth="1"/>
    <col min="15621" max="15621" width="12.28515625" style="2020" customWidth="1"/>
    <col min="15622" max="15622" width="21.140625" style="2020" customWidth="1"/>
    <col min="15623" max="15623" width="18.28515625" style="2020" customWidth="1"/>
    <col min="15624" max="15624" width="14.42578125" style="2020" customWidth="1"/>
    <col min="15625" max="15625" width="16.28515625" style="2020" customWidth="1"/>
    <col min="15626" max="15871" width="9.140625" style="2020"/>
    <col min="15872" max="15872" width="11.28515625" style="2020" customWidth="1"/>
    <col min="15873" max="15875" width="11.42578125" style="2020" customWidth="1"/>
    <col min="15876" max="15876" width="12" style="2020" customWidth="1"/>
    <col min="15877" max="15877" width="12.28515625" style="2020" customWidth="1"/>
    <col min="15878" max="15878" width="21.140625" style="2020" customWidth="1"/>
    <col min="15879" max="15879" width="18.28515625" style="2020" customWidth="1"/>
    <col min="15880" max="15880" width="14.42578125" style="2020" customWidth="1"/>
    <col min="15881" max="15881" width="16.28515625" style="2020" customWidth="1"/>
    <col min="15882" max="16127" width="9.140625" style="2020"/>
    <col min="16128" max="16128" width="11.28515625" style="2020" customWidth="1"/>
    <col min="16129" max="16131" width="11.42578125" style="2020" customWidth="1"/>
    <col min="16132" max="16132" width="12" style="2020" customWidth="1"/>
    <col min="16133" max="16133" width="12.28515625" style="2020" customWidth="1"/>
    <col min="16134" max="16134" width="21.140625" style="2020" customWidth="1"/>
    <col min="16135" max="16135" width="18.28515625" style="2020" customWidth="1"/>
    <col min="16136" max="16136" width="14.42578125" style="2020" customWidth="1"/>
    <col min="16137" max="16137" width="16.28515625" style="2020" customWidth="1"/>
    <col min="16138" max="16384" width="9.140625" style="2020"/>
  </cols>
  <sheetData>
    <row r="1" spans="1:9" ht="21" customHeight="1" x14ac:dyDescent="0.25">
      <c r="A1" s="3284" t="str">
        <f>'65A_TT342'!A1:C1</f>
        <v>PHÒNG KINH TẾ, HẠ TẦNG VÀ ĐÔ THỊ</v>
      </c>
      <c r="B1" s="3284"/>
      <c r="C1" s="3284"/>
      <c r="D1" s="3284"/>
      <c r="E1" s="1713"/>
      <c r="F1" s="1713"/>
      <c r="G1" s="1704" t="s">
        <v>2141</v>
      </c>
      <c r="H1" s="1704"/>
    </row>
    <row r="2" spans="1:9" ht="24" customHeight="1" x14ac:dyDescent="0.25">
      <c r="A2" s="3283" t="s">
        <v>1723</v>
      </c>
      <c r="B2" s="3283"/>
      <c r="C2" s="3283"/>
      <c r="D2" s="3283"/>
      <c r="E2" s="3283"/>
      <c r="F2" s="3283"/>
      <c r="G2" s="3283"/>
      <c r="H2" s="1706"/>
    </row>
    <row r="3" spans="1:9" ht="25.5" customHeight="1" x14ac:dyDescent="0.25">
      <c r="A3" s="3285" t="str">
        <f>'63_TT342'!A3:H3</f>
        <v>(Kèm theo Quyết định số          /QĐ-UBND ngày          /4/2026 của UBND phường Bắc Kạn)</v>
      </c>
      <c r="B3" s="3285"/>
      <c r="C3" s="3285"/>
      <c r="D3" s="3285"/>
      <c r="E3" s="3285"/>
      <c r="F3" s="3285"/>
      <c r="G3" s="3285"/>
      <c r="H3" s="2010"/>
    </row>
    <row r="4" spans="1:9" ht="21.75" customHeight="1" x14ac:dyDescent="0.25">
      <c r="G4" s="1720" t="s">
        <v>1187</v>
      </c>
      <c r="H4" s="1720"/>
    </row>
    <row r="5" spans="1:9" ht="24.75" customHeight="1" x14ac:dyDescent="0.25">
      <c r="A5" s="2014" t="s">
        <v>1538</v>
      </c>
      <c r="B5" s="2014" t="s">
        <v>142</v>
      </c>
      <c r="C5" s="2014" t="s">
        <v>1591</v>
      </c>
      <c r="D5" s="2014" t="s">
        <v>147</v>
      </c>
      <c r="E5" s="2014" t="s">
        <v>143</v>
      </c>
      <c r="F5" s="2014" t="s">
        <v>144</v>
      </c>
      <c r="G5" s="2014" t="s">
        <v>592</v>
      </c>
      <c r="H5" s="2008"/>
    </row>
    <row r="6" spans="1:9" s="1705" customFormat="1" ht="23.25" customHeight="1" x14ac:dyDescent="0.25">
      <c r="A6" s="3286" t="s">
        <v>511</v>
      </c>
      <c r="B6" s="3286"/>
      <c r="C6" s="3286"/>
      <c r="D6" s="3286"/>
      <c r="E6" s="3286"/>
      <c r="F6" s="3286"/>
      <c r="G6" s="2016">
        <v>374832535133</v>
      </c>
      <c r="H6" s="2021"/>
    </row>
    <row r="7" spans="1:9" ht="15.75" customHeight="1" x14ac:dyDescent="0.25">
      <c r="A7" s="2022" t="s">
        <v>1817</v>
      </c>
      <c r="B7" s="2017" t="s">
        <v>1646</v>
      </c>
      <c r="C7" s="2017" t="s">
        <v>1646</v>
      </c>
      <c r="D7" s="2017" t="s">
        <v>1646</v>
      </c>
      <c r="E7" s="2017" t="s">
        <v>1646</v>
      </c>
      <c r="F7" s="2017" t="s">
        <v>1646</v>
      </c>
      <c r="G7" s="2016">
        <v>374832535133</v>
      </c>
      <c r="H7" s="2023"/>
    </row>
    <row r="8" spans="1:9" ht="15.75" customHeight="1" x14ac:dyDescent="0.25">
      <c r="A8" s="2017" t="s">
        <v>1817</v>
      </c>
      <c r="B8" s="2017" t="s">
        <v>1592</v>
      </c>
      <c r="C8" s="2017" t="s">
        <v>1646</v>
      </c>
      <c r="D8" s="2017" t="s">
        <v>1646</v>
      </c>
      <c r="E8" s="2017" t="s">
        <v>1646</v>
      </c>
      <c r="F8" s="2017" t="s">
        <v>1646</v>
      </c>
      <c r="G8" s="2018">
        <v>374832535133</v>
      </c>
      <c r="H8" s="2024"/>
      <c r="I8" s="2025"/>
    </row>
    <row r="9" spans="1:9" ht="15.75" customHeight="1" x14ac:dyDescent="0.25">
      <c r="A9" s="2017" t="s">
        <v>1817</v>
      </c>
      <c r="B9" s="2017" t="s">
        <v>1592</v>
      </c>
      <c r="C9" s="2017" t="s">
        <v>1724</v>
      </c>
      <c r="D9" s="2017" t="s">
        <v>1646</v>
      </c>
      <c r="E9" s="2017" t="s">
        <v>1646</v>
      </c>
      <c r="F9" s="2017" t="s">
        <v>1646</v>
      </c>
      <c r="G9" s="2018">
        <v>4970667130</v>
      </c>
      <c r="H9" s="2024"/>
    </row>
    <row r="10" spans="1:9" ht="15.75" customHeight="1" x14ac:dyDescent="0.25">
      <c r="A10" s="2017" t="s">
        <v>1817</v>
      </c>
      <c r="B10" s="2017" t="s">
        <v>1592</v>
      </c>
      <c r="C10" s="2017" t="s">
        <v>1724</v>
      </c>
      <c r="D10" s="2017" t="s">
        <v>1725</v>
      </c>
      <c r="E10" s="2017" t="s">
        <v>1646</v>
      </c>
      <c r="F10" s="2017" t="s">
        <v>1646</v>
      </c>
      <c r="G10" s="2018">
        <v>4970667130</v>
      </c>
      <c r="H10" s="2024"/>
    </row>
    <row r="11" spans="1:9" ht="15.75" customHeight="1" x14ac:dyDescent="0.25">
      <c r="A11" s="2017" t="s">
        <v>1817</v>
      </c>
      <c r="B11" s="2017" t="s">
        <v>1592</v>
      </c>
      <c r="C11" s="2017" t="s">
        <v>1724</v>
      </c>
      <c r="D11" s="2017" t="s">
        <v>1725</v>
      </c>
      <c r="E11" s="2017" t="s">
        <v>1730</v>
      </c>
      <c r="F11" s="2017" t="s">
        <v>1646</v>
      </c>
      <c r="G11" s="2018">
        <v>125220000</v>
      </c>
      <c r="H11" s="2024"/>
    </row>
    <row r="12" spans="1:9" ht="15.75" customHeight="1" x14ac:dyDescent="0.25">
      <c r="A12" s="2017" t="s">
        <v>1817</v>
      </c>
      <c r="B12" s="2017" t="s">
        <v>1592</v>
      </c>
      <c r="C12" s="2017" t="s">
        <v>1724</v>
      </c>
      <c r="D12" s="2017" t="s">
        <v>1725</v>
      </c>
      <c r="E12" s="2017" t="s">
        <v>1730</v>
      </c>
      <c r="F12" s="2017" t="s">
        <v>1731</v>
      </c>
      <c r="G12" s="2018">
        <v>125220000</v>
      </c>
      <c r="H12" s="2024"/>
    </row>
    <row r="13" spans="1:9" ht="15.75" customHeight="1" x14ac:dyDescent="0.25">
      <c r="A13" s="2017" t="s">
        <v>1817</v>
      </c>
      <c r="B13" s="2017" t="s">
        <v>1592</v>
      </c>
      <c r="C13" s="2017" t="s">
        <v>1724</v>
      </c>
      <c r="D13" s="2017" t="s">
        <v>1725</v>
      </c>
      <c r="E13" s="2017" t="s">
        <v>1607</v>
      </c>
      <c r="F13" s="2017" t="s">
        <v>1646</v>
      </c>
      <c r="G13" s="2018">
        <v>91385270</v>
      </c>
      <c r="H13" s="2024"/>
    </row>
    <row r="14" spans="1:9" ht="15.75" customHeight="1" x14ac:dyDescent="0.25">
      <c r="A14" s="2017" t="s">
        <v>1817</v>
      </c>
      <c r="B14" s="2017" t="s">
        <v>1592</v>
      </c>
      <c r="C14" s="2017" t="s">
        <v>1724</v>
      </c>
      <c r="D14" s="2017" t="s">
        <v>1725</v>
      </c>
      <c r="E14" s="2017" t="s">
        <v>1607</v>
      </c>
      <c r="F14" s="2017" t="s">
        <v>1734</v>
      </c>
      <c r="G14" s="2018">
        <v>34508400</v>
      </c>
      <c r="H14" s="2024"/>
    </row>
    <row r="15" spans="1:9" ht="15.75" customHeight="1" x14ac:dyDescent="0.25">
      <c r="A15" s="2017" t="s">
        <v>1817</v>
      </c>
      <c r="B15" s="2017" t="s">
        <v>1592</v>
      </c>
      <c r="C15" s="2017" t="s">
        <v>1724</v>
      </c>
      <c r="D15" s="2017" t="s">
        <v>1725</v>
      </c>
      <c r="E15" s="2017" t="s">
        <v>1607</v>
      </c>
      <c r="F15" s="2017" t="s">
        <v>1735</v>
      </c>
      <c r="G15" s="2018">
        <v>12636000</v>
      </c>
      <c r="H15" s="2024"/>
    </row>
    <row r="16" spans="1:9" ht="15.75" customHeight="1" x14ac:dyDescent="0.25">
      <c r="A16" s="2017" t="s">
        <v>1817</v>
      </c>
      <c r="B16" s="2017" t="s">
        <v>1592</v>
      </c>
      <c r="C16" s="2017" t="s">
        <v>1724</v>
      </c>
      <c r="D16" s="2017" t="s">
        <v>1725</v>
      </c>
      <c r="E16" s="2017" t="s">
        <v>1607</v>
      </c>
      <c r="F16" s="2017" t="s">
        <v>1726</v>
      </c>
      <c r="G16" s="2018">
        <v>16160870</v>
      </c>
      <c r="H16" s="2024"/>
    </row>
    <row r="17" spans="1:8" ht="15.75" customHeight="1" x14ac:dyDescent="0.25">
      <c r="A17" s="2017" t="s">
        <v>1817</v>
      </c>
      <c r="B17" s="2017" t="s">
        <v>1592</v>
      </c>
      <c r="C17" s="2017" t="s">
        <v>1724</v>
      </c>
      <c r="D17" s="2017" t="s">
        <v>1725</v>
      </c>
      <c r="E17" s="2017" t="s">
        <v>1607</v>
      </c>
      <c r="F17" s="2017" t="s">
        <v>1781</v>
      </c>
      <c r="G17" s="2018">
        <v>28080000</v>
      </c>
      <c r="H17" s="2024"/>
    </row>
    <row r="18" spans="1:8" ht="15.75" customHeight="1" x14ac:dyDescent="0.25">
      <c r="A18" s="2017" t="s">
        <v>1817</v>
      </c>
      <c r="B18" s="2017" t="s">
        <v>1592</v>
      </c>
      <c r="C18" s="2017" t="s">
        <v>1724</v>
      </c>
      <c r="D18" s="2017" t="s">
        <v>1725</v>
      </c>
      <c r="E18" s="2017" t="s">
        <v>1743</v>
      </c>
      <c r="F18" s="2017" t="s">
        <v>1646</v>
      </c>
      <c r="G18" s="2018">
        <v>34647144</v>
      </c>
      <c r="H18" s="2024"/>
    </row>
    <row r="19" spans="1:8" ht="15.75" customHeight="1" x14ac:dyDescent="0.25">
      <c r="A19" s="2017" t="s">
        <v>1817</v>
      </c>
      <c r="B19" s="2017" t="s">
        <v>1592</v>
      </c>
      <c r="C19" s="2017" t="s">
        <v>1724</v>
      </c>
      <c r="D19" s="2017" t="s">
        <v>1725</v>
      </c>
      <c r="E19" s="2017" t="s">
        <v>1743</v>
      </c>
      <c r="F19" s="2017" t="s">
        <v>1744</v>
      </c>
      <c r="G19" s="2018">
        <v>29509501</v>
      </c>
      <c r="H19" s="2024"/>
    </row>
    <row r="20" spans="1:8" ht="15.75" customHeight="1" x14ac:dyDescent="0.25">
      <c r="A20" s="2017" t="s">
        <v>1817</v>
      </c>
      <c r="B20" s="2017" t="s">
        <v>1592</v>
      </c>
      <c r="C20" s="2017" t="s">
        <v>1724</v>
      </c>
      <c r="D20" s="2017" t="s">
        <v>1725</v>
      </c>
      <c r="E20" s="2017" t="s">
        <v>1743</v>
      </c>
      <c r="F20" s="2017" t="s">
        <v>1745</v>
      </c>
      <c r="G20" s="2018">
        <v>5137643</v>
      </c>
      <c r="H20" s="2024"/>
    </row>
    <row r="21" spans="1:8" ht="15.75" customHeight="1" x14ac:dyDescent="0.25">
      <c r="A21" s="2017" t="s">
        <v>1817</v>
      </c>
      <c r="B21" s="2017" t="s">
        <v>1592</v>
      </c>
      <c r="C21" s="2017" t="s">
        <v>1724</v>
      </c>
      <c r="D21" s="2017" t="s">
        <v>1725</v>
      </c>
      <c r="E21" s="2017" t="s">
        <v>1727</v>
      </c>
      <c r="F21" s="2017" t="s">
        <v>1646</v>
      </c>
      <c r="G21" s="2018">
        <v>942245216</v>
      </c>
      <c r="H21" s="2024"/>
    </row>
    <row r="22" spans="1:8" ht="15.75" customHeight="1" x14ac:dyDescent="0.25">
      <c r="A22" s="2017" t="s">
        <v>1817</v>
      </c>
      <c r="B22" s="2017" t="s">
        <v>1592</v>
      </c>
      <c r="C22" s="2017" t="s">
        <v>1724</v>
      </c>
      <c r="D22" s="2017" t="s">
        <v>1725</v>
      </c>
      <c r="E22" s="2017" t="s">
        <v>1727</v>
      </c>
      <c r="F22" s="2017" t="s">
        <v>1786</v>
      </c>
      <c r="G22" s="2018">
        <v>231432000</v>
      </c>
      <c r="H22" s="2024"/>
    </row>
    <row r="23" spans="1:8" ht="15.75" customHeight="1" x14ac:dyDescent="0.25">
      <c r="A23" s="2017" t="s">
        <v>1817</v>
      </c>
      <c r="B23" s="2017" t="s">
        <v>1592</v>
      </c>
      <c r="C23" s="2017" t="s">
        <v>1724</v>
      </c>
      <c r="D23" s="2017" t="s">
        <v>1725</v>
      </c>
      <c r="E23" s="2017" t="s">
        <v>1727</v>
      </c>
      <c r="F23" s="2017" t="s">
        <v>1728</v>
      </c>
      <c r="G23" s="2018">
        <v>710813216</v>
      </c>
      <c r="H23" s="2024"/>
    </row>
    <row r="24" spans="1:8" ht="15.75" customHeight="1" x14ac:dyDescent="0.25">
      <c r="A24" s="2017" t="s">
        <v>1817</v>
      </c>
      <c r="B24" s="2017" t="s">
        <v>1592</v>
      </c>
      <c r="C24" s="2017" t="s">
        <v>1724</v>
      </c>
      <c r="D24" s="2017" t="s">
        <v>1725</v>
      </c>
      <c r="E24" s="2017" t="s">
        <v>1748</v>
      </c>
      <c r="F24" s="2017" t="s">
        <v>1646</v>
      </c>
      <c r="G24" s="2018">
        <v>2161176000</v>
      </c>
      <c r="H24" s="2024"/>
    </row>
    <row r="25" spans="1:8" ht="15.75" customHeight="1" x14ac:dyDescent="0.25">
      <c r="A25" s="2017" t="s">
        <v>1817</v>
      </c>
      <c r="B25" s="2017" t="s">
        <v>1592</v>
      </c>
      <c r="C25" s="2017" t="s">
        <v>1724</v>
      </c>
      <c r="D25" s="2017" t="s">
        <v>1725</v>
      </c>
      <c r="E25" s="2017" t="s">
        <v>1748</v>
      </c>
      <c r="F25" s="2017" t="s">
        <v>1749</v>
      </c>
      <c r="G25" s="2018">
        <v>609960000</v>
      </c>
      <c r="H25" s="2024"/>
    </row>
    <row r="26" spans="1:8" ht="15.75" customHeight="1" x14ac:dyDescent="0.25">
      <c r="A26" s="2017" t="s">
        <v>1817</v>
      </c>
      <c r="B26" s="2017" t="s">
        <v>1592</v>
      </c>
      <c r="C26" s="2017" t="s">
        <v>1724</v>
      </c>
      <c r="D26" s="2017" t="s">
        <v>1725</v>
      </c>
      <c r="E26" s="2017" t="s">
        <v>1748</v>
      </c>
      <c r="F26" s="2017" t="s">
        <v>1750</v>
      </c>
      <c r="G26" s="2018">
        <v>1551216000</v>
      </c>
      <c r="H26" s="2024"/>
    </row>
    <row r="27" spans="1:8" ht="15.75" customHeight="1" x14ac:dyDescent="0.25">
      <c r="A27" s="2017" t="s">
        <v>1817</v>
      </c>
      <c r="B27" s="2017" t="s">
        <v>1592</v>
      </c>
      <c r="C27" s="2017" t="s">
        <v>1724</v>
      </c>
      <c r="D27" s="2017" t="s">
        <v>1725</v>
      </c>
      <c r="E27" s="2017" t="s">
        <v>1751</v>
      </c>
      <c r="F27" s="2017" t="s">
        <v>1646</v>
      </c>
      <c r="G27" s="2018">
        <v>74856100</v>
      </c>
      <c r="H27" s="2024"/>
    </row>
    <row r="28" spans="1:8" ht="15.75" customHeight="1" x14ac:dyDescent="0.25">
      <c r="A28" s="2017" t="s">
        <v>1817</v>
      </c>
      <c r="B28" s="2017" t="s">
        <v>1592</v>
      </c>
      <c r="C28" s="2017" t="s">
        <v>1724</v>
      </c>
      <c r="D28" s="2017" t="s">
        <v>1725</v>
      </c>
      <c r="E28" s="2017" t="s">
        <v>1751</v>
      </c>
      <c r="F28" s="2017" t="s">
        <v>1752</v>
      </c>
      <c r="G28" s="2018">
        <v>26835200</v>
      </c>
      <c r="H28" s="2024"/>
    </row>
    <row r="29" spans="1:8" ht="15.75" customHeight="1" x14ac:dyDescent="0.25">
      <c r="A29" s="2017" t="s">
        <v>1817</v>
      </c>
      <c r="B29" s="2017" t="s">
        <v>1592</v>
      </c>
      <c r="C29" s="2017" t="s">
        <v>1724</v>
      </c>
      <c r="D29" s="2017" t="s">
        <v>1725</v>
      </c>
      <c r="E29" s="2017" t="s">
        <v>1751</v>
      </c>
      <c r="F29" s="2017" t="s">
        <v>1818</v>
      </c>
      <c r="G29" s="2018">
        <v>20478800</v>
      </c>
      <c r="H29" s="2024"/>
    </row>
    <row r="30" spans="1:8" ht="15.75" customHeight="1" x14ac:dyDescent="0.25">
      <c r="A30" s="2017" t="s">
        <v>1817</v>
      </c>
      <c r="B30" s="2017" t="s">
        <v>1592</v>
      </c>
      <c r="C30" s="2017" t="s">
        <v>1724</v>
      </c>
      <c r="D30" s="2017" t="s">
        <v>1725</v>
      </c>
      <c r="E30" s="2017" t="s">
        <v>1751</v>
      </c>
      <c r="F30" s="2017" t="s">
        <v>1787</v>
      </c>
      <c r="G30" s="2018">
        <v>26342100</v>
      </c>
      <c r="H30" s="2024"/>
    </row>
    <row r="31" spans="1:8" ht="15.75" customHeight="1" x14ac:dyDescent="0.25">
      <c r="A31" s="2017" t="s">
        <v>1817</v>
      </c>
      <c r="B31" s="2017" t="s">
        <v>1592</v>
      </c>
      <c r="C31" s="2017" t="s">
        <v>1724</v>
      </c>
      <c r="D31" s="2017" t="s">
        <v>1725</v>
      </c>
      <c r="E31" s="2017" t="s">
        <v>1751</v>
      </c>
      <c r="F31" s="2017" t="s">
        <v>1753</v>
      </c>
      <c r="G31" s="2018">
        <v>1200000</v>
      </c>
      <c r="H31" s="2024"/>
    </row>
    <row r="32" spans="1:8" ht="15.75" customHeight="1" x14ac:dyDescent="0.25">
      <c r="A32" s="2017" t="s">
        <v>1817</v>
      </c>
      <c r="B32" s="2017" t="s">
        <v>1592</v>
      </c>
      <c r="C32" s="2017" t="s">
        <v>1724</v>
      </c>
      <c r="D32" s="2017" t="s">
        <v>1725</v>
      </c>
      <c r="E32" s="2017" t="s">
        <v>1623</v>
      </c>
      <c r="F32" s="2017" t="s">
        <v>1646</v>
      </c>
      <c r="G32" s="2018">
        <v>49839540</v>
      </c>
      <c r="H32" s="2024"/>
    </row>
    <row r="33" spans="1:8" ht="15.75" customHeight="1" x14ac:dyDescent="0.25">
      <c r="A33" s="2017" t="s">
        <v>1817</v>
      </c>
      <c r="B33" s="2017" t="s">
        <v>1592</v>
      </c>
      <c r="C33" s="2017" t="s">
        <v>1724</v>
      </c>
      <c r="D33" s="2017" t="s">
        <v>1725</v>
      </c>
      <c r="E33" s="2017" t="s">
        <v>1623</v>
      </c>
      <c r="F33" s="2017" t="s">
        <v>1624</v>
      </c>
      <c r="G33" s="2018">
        <v>24399078</v>
      </c>
      <c r="H33" s="2024"/>
    </row>
    <row r="34" spans="1:8" ht="15.75" customHeight="1" x14ac:dyDescent="0.25">
      <c r="A34" s="2017" t="s">
        <v>1817</v>
      </c>
      <c r="B34" s="2017" t="s">
        <v>1592</v>
      </c>
      <c r="C34" s="2017" t="s">
        <v>1724</v>
      </c>
      <c r="D34" s="2017" t="s">
        <v>1725</v>
      </c>
      <c r="E34" s="2017" t="s">
        <v>1623</v>
      </c>
      <c r="F34" s="2017" t="s">
        <v>1639</v>
      </c>
      <c r="G34" s="2018">
        <v>5600000</v>
      </c>
      <c r="H34" s="2024"/>
    </row>
    <row r="35" spans="1:8" ht="15.75" customHeight="1" x14ac:dyDescent="0.25">
      <c r="A35" s="2017" t="s">
        <v>1817</v>
      </c>
      <c r="B35" s="2017" t="s">
        <v>1592</v>
      </c>
      <c r="C35" s="2017" t="s">
        <v>1724</v>
      </c>
      <c r="D35" s="2017" t="s">
        <v>1725</v>
      </c>
      <c r="E35" s="2017" t="s">
        <v>1623</v>
      </c>
      <c r="F35" s="2017" t="s">
        <v>1634</v>
      </c>
      <c r="G35" s="2018">
        <v>19840462</v>
      </c>
      <c r="H35" s="2024"/>
    </row>
    <row r="36" spans="1:8" ht="15.75" customHeight="1" x14ac:dyDescent="0.25">
      <c r="A36" s="2017" t="s">
        <v>1817</v>
      </c>
      <c r="B36" s="2017" t="s">
        <v>1592</v>
      </c>
      <c r="C36" s="2017" t="s">
        <v>1724</v>
      </c>
      <c r="D36" s="2017" t="s">
        <v>1725</v>
      </c>
      <c r="E36" s="2017" t="s">
        <v>1652</v>
      </c>
      <c r="F36" s="2017" t="s">
        <v>1646</v>
      </c>
      <c r="G36" s="2018">
        <v>62700800</v>
      </c>
      <c r="H36" s="2024"/>
    </row>
    <row r="37" spans="1:8" ht="15.75" customHeight="1" x14ac:dyDescent="0.25">
      <c r="A37" s="2017" t="s">
        <v>1817</v>
      </c>
      <c r="B37" s="2017" t="s">
        <v>1592</v>
      </c>
      <c r="C37" s="2017" t="s">
        <v>1724</v>
      </c>
      <c r="D37" s="2017" t="s">
        <v>1725</v>
      </c>
      <c r="E37" s="2017" t="s">
        <v>1652</v>
      </c>
      <c r="F37" s="2017" t="s">
        <v>1754</v>
      </c>
      <c r="G37" s="2018">
        <v>269200</v>
      </c>
      <c r="H37" s="2024"/>
    </row>
    <row r="38" spans="1:8" ht="15.75" customHeight="1" x14ac:dyDescent="0.25">
      <c r="A38" s="2017" t="s">
        <v>1817</v>
      </c>
      <c r="B38" s="2017" t="s">
        <v>1592</v>
      </c>
      <c r="C38" s="2017" t="s">
        <v>1724</v>
      </c>
      <c r="D38" s="2017" t="s">
        <v>1725</v>
      </c>
      <c r="E38" s="2017" t="s">
        <v>1652</v>
      </c>
      <c r="F38" s="2017" t="s">
        <v>1755</v>
      </c>
      <c r="G38" s="2018">
        <v>3767600</v>
      </c>
      <c r="H38" s="2024"/>
    </row>
    <row r="39" spans="1:8" ht="15.75" customHeight="1" x14ac:dyDescent="0.25">
      <c r="A39" s="2017" t="s">
        <v>1817</v>
      </c>
      <c r="B39" s="2017" t="s">
        <v>1592</v>
      </c>
      <c r="C39" s="2017" t="s">
        <v>1724</v>
      </c>
      <c r="D39" s="2017" t="s">
        <v>1725</v>
      </c>
      <c r="E39" s="2017" t="s">
        <v>1652</v>
      </c>
      <c r="F39" s="2017" t="s">
        <v>1653</v>
      </c>
      <c r="G39" s="2018">
        <v>48565000</v>
      </c>
      <c r="H39" s="2024"/>
    </row>
    <row r="40" spans="1:8" ht="15.75" customHeight="1" x14ac:dyDescent="0.25">
      <c r="A40" s="2017" t="s">
        <v>1817</v>
      </c>
      <c r="B40" s="2017" t="s">
        <v>1592</v>
      </c>
      <c r="C40" s="2017" t="s">
        <v>1724</v>
      </c>
      <c r="D40" s="2017" t="s">
        <v>1725</v>
      </c>
      <c r="E40" s="2017" t="s">
        <v>1652</v>
      </c>
      <c r="F40" s="2017" t="s">
        <v>1789</v>
      </c>
      <c r="G40" s="2018">
        <v>10099000</v>
      </c>
      <c r="H40" s="2024"/>
    </row>
    <row r="41" spans="1:8" ht="15.75" customHeight="1" x14ac:dyDescent="0.25">
      <c r="A41" s="2017" t="s">
        <v>1817</v>
      </c>
      <c r="B41" s="2017" t="s">
        <v>1592</v>
      </c>
      <c r="C41" s="2017" t="s">
        <v>1724</v>
      </c>
      <c r="D41" s="2017" t="s">
        <v>1725</v>
      </c>
      <c r="E41" s="2017" t="s">
        <v>1609</v>
      </c>
      <c r="F41" s="2017" t="s">
        <v>1646</v>
      </c>
      <c r="G41" s="2018">
        <v>24273600</v>
      </c>
      <c r="H41" s="2024"/>
    </row>
    <row r="42" spans="1:8" ht="15.75" customHeight="1" x14ac:dyDescent="0.25">
      <c r="A42" s="2017" t="s">
        <v>1817</v>
      </c>
      <c r="B42" s="2017" t="s">
        <v>1592</v>
      </c>
      <c r="C42" s="2017" t="s">
        <v>1724</v>
      </c>
      <c r="D42" s="2017" t="s">
        <v>1725</v>
      </c>
      <c r="E42" s="2017" t="s">
        <v>1609</v>
      </c>
      <c r="F42" s="2017" t="s">
        <v>1612</v>
      </c>
      <c r="G42" s="2018">
        <v>24273600</v>
      </c>
      <c r="H42" s="2024"/>
    </row>
    <row r="43" spans="1:8" ht="15.75" customHeight="1" x14ac:dyDescent="0.25">
      <c r="A43" s="2017" t="s">
        <v>1817</v>
      </c>
      <c r="B43" s="2017" t="s">
        <v>1592</v>
      </c>
      <c r="C43" s="2017" t="s">
        <v>1724</v>
      </c>
      <c r="D43" s="2017" t="s">
        <v>1725</v>
      </c>
      <c r="E43" s="2017" t="s">
        <v>1660</v>
      </c>
      <c r="F43" s="2017" t="s">
        <v>1646</v>
      </c>
      <c r="G43" s="2018">
        <v>26600000</v>
      </c>
      <c r="H43" s="2024"/>
    </row>
    <row r="44" spans="1:8" ht="15.75" customHeight="1" x14ac:dyDescent="0.25">
      <c r="A44" s="2017" t="s">
        <v>1817</v>
      </c>
      <c r="B44" s="2017" t="s">
        <v>1592</v>
      </c>
      <c r="C44" s="2017" t="s">
        <v>1724</v>
      </c>
      <c r="D44" s="2017" t="s">
        <v>1725</v>
      </c>
      <c r="E44" s="2017" t="s">
        <v>1660</v>
      </c>
      <c r="F44" s="2017" t="s">
        <v>1756</v>
      </c>
      <c r="G44" s="2018">
        <v>15900000</v>
      </c>
      <c r="H44" s="2024"/>
    </row>
    <row r="45" spans="1:8" ht="15.75" customHeight="1" x14ac:dyDescent="0.25">
      <c r="A45" s="2017" t="s">
        <v>1817</v>
      </c>
      <c r="B45" s="2017" t="s">
        <v>1592</v>
      </c>
      <c r="C45" s="2017" t="s">
        <v>1724</v>
      </c>
      <c r="D45" s="2017" t="s">
        <v>1725</v>
      </c>
      <c r="E45" s="2017" t="s">
        <v>1660</v>
      </c>
      <c r="F45" s="2017" t="s">
        <v>1661</v>
      </c>
      <c r="G45" s="2018">
        <v>10700000</v>
      </c>
      <c r="H45" s="2024"/>
    </row>
    <row r="46" spans="1:8" ht="15.75" customHeight="1" x14ac:dyDescent="0.25">
      <c r="A46" s="2017" t="s">
        <v>1817</v>
      </c>
      <c r="B46" s="2017" t="s">
        <v>1592</v>
      </c>
      <c r="C46" s="2017" t="s">
        <v>1724</v>
      </c>
      <c r="D46" s="2017" t="s">
        <v>1725</v>
      </c>
      <c r="E46" s="2017" t="s">
        <v>1654</v>
      </c>
      <c r="F46" s="2017" t="s">
        <v>1646</v>
      </c>
      <c r="G46" s="2018">
        <v>68660000</v>
      </c>
      <c r="H46" s="2024"/>
    </row>
    <row r="47" spans="1:8" ht="15.75" customHeight="1" x14ac:dyDescent="0.25">
      <c r="A47" s="2017" t="s">
        <v>1817</v>
      </c>
      <c r="B47" s="2017" t="s">
        <v>1592</v>
      </c>
      <c r="C47" s="2017" t="s">
        <v>1724</v>
      </c>
      <c r="D47" s="2017" t="s">
        <v>1725</v>
      </c>
      <c r="E47" s="2017" t="s">
        <v>1654</v>
      </c>
      <c r="F47" s="2017" t="s">
        <v>1663</v>
      </c>
      <c r="G47" s="2018">
        <v>42000000</v>
      </c>
      <c r="H47" s="2024"/>
    </row>
    <row r="48" spans="1:8" ht="15.75" customHeight="1" x14ac:dyDescent="0.25">
      <c r="A48" s="2017" t="s">
        <v>1817</v>
      </c>
      <c r="B48" s="2017" t="s">
        <v>1592</v>
      </c>
      <c r="C48" s="2017" t="s">
        <v>1724</v>
      </c>
      <c r="D48" s="2017" t="s">
        <v>1725</v>
      </c>
      <c r="E48" s="2017" t="s">
        <v>1654</v>
      </c>
      <c r="F48" s="2017" t="s">
        <v>1655</v>
      </c>
      <c r="G48" s="2018">
        <v>26660000</v>
      </c>
      <c r="H48" s="2024"/>
    </row>
    <row r="49" spans="1:8" ht="15.75" customHeight="1" x14ac:dyDescent="0.25">
      <c r="A49" s="2017" t="s">
        <v>1817</v>
      </c>
      <c r="B49" s="2017" t="s">
        <v>1592</v>
      </c>
      <c r="C49" s="2017" t="s">
        <v>1724</v>
      </c>
      <c r="D49" s="2017" t="s">
        <v>1725</v>
      </c>
      <c r="E49" s="2017" t="s">
        <v>1602</v>
      </c>
      <c r="F49" s="2017" t="s">
        <v>1646</v>
      </c>
      <c r="G49" s="2018">
        <v>17400000</v>
      </c>
      <c r="H49" s="2024"/>
    </row>
    <row r="50" spans="1:8" ht="15.75" customHeight="1" x14ac:dyDescent="0.25">
      <c r="A50" s="2017" t="s">
        <v>1817</v>
      </c>
      <c r="B50" s="2017" t="s">
        <v>1592</v>
      </c>
      <c r="C50" s="2017" t="s">
        <v>1724</v>
      </c>
      <c r="D50" s="2017" t="s">
        <v>1725</v>
      </c>
      <c r="E50" s="2017" t="s">
        <v>1602</v>
      </c>
      <c r="F50" s="2017" t="s">
        <v>1790</v>
      </c>
      <c r="G50" s="2018">
        <v>1100000</v>
      </c>
      <c r="H50" s="2024"/>
    </row>
    <row r="51" spans="1:8" ht="15.75" customHeight="1" x14ac:dyDescent="0.25">
      <c r="A51" s="2017" t="s">
        <v>1817</v>
      </c>
      <c r="B51" s="2017" t="s">
        <v>1592</v>
      </c>
      <c r="C51" s="2017" t="s">
        <v>1724</v>
      </c>
      <c r="D51" s="2017" t="s">
        <v>1725</v>
      </c>
      <c r="E51" s="2017" t="s">
        <v>1602</v>
      </c>
      <c r="F51" s="2017" t="s">
        <v>1680</v>
      </c>
      <c r="G51" s="2018">
        <v>3050000</v>
      </c>
      <c r="H51" s="2024"/>
    </row>
    <row r="52" spans="1:8" ht="15.75" customHeight="1" x14ac:dyDescent="0.25">
      <c r="A52" s="2017" t="s">
        <v>1817</v>
      </c>
      <c r="B52" s="2017" t="s">
        <v>1592</v>
      </c>
      <c r="C52" s="2017" t="s">
        <v>1724</v>
      </c>
      <c r="D52" s="2017" t="s">
        <v>1725</v>
      </c>
      <c r="E52" s="2017" t="s">
        <v>1602</v>
      </c>
      <c r="F52" s="2017" t="s">
        <v>1759</v>
      </c>
      <c r="G52" s="2018">
        <v>13250000</v>
      </c>
      <c r="H52" s="2024"/>
    </row>
    <row r="53" spans="1:8" ht="15.75" customHeight="1" x14ac:dyDescent="0.25">
      <c r="A53" s="2017" t="s">
        <v>1817</v>
      </c>
      <c r="B53" s="2017" t="s">
        <v>1592</v>
      </c>
      <c r="C53" s="2017" t="s">
        <v>1724</v>
      </c>
      <c r="D53" s="2017" t="s">
        <v>1725</v>
      </c>
      <c r="E53" s="2017" t="s">
        <v>1618</v>
      </c>
      <c r="F53" s="2017" t="s">
        <v>1646</v>
      </c>
      <c r="G53" s="2018">
        <v>1093406600</v>
      </c>
      <c r="H53" s="2024"/>
    </row>
    <row r="54" spans="1:8" ht="15.75" customHeight="1" x14ac:dyDescent="0.25">
      <c r="A54" s="2017" t="s">
        <v>1817</v>
      </c>
      <c r="B54" s="2017" t="s">
        <v>1592</v>
      </c>
      <c r="C54" s="2017" t="s">
        <v>1724</v>
      </c>
      <c r="D54" s="2017" t="s">
        <v>1725</v>
      </c>
      <c r="E54" s="2017" t="s">
        <v>1618</v>
      </c>
      <c r="F54" s="2017" t="s">
        <v>1619</v>
      </c>
      <c r="G54" s="2018">
        <v>166406100</v>
      </c>
      <c r="H54" s="2024"/>
    </row>
    <row r="55" spans="1:8" ht="15.75" customHeight="1" x14ac:dyDescent="0.25">
      <c r="A55" s="2017" t="s">
        <v>1817</v>
      </c>
      <c r="B55" s="2017" t="s">
        <v>1592</v>
      </c>
      <c r="C55" s="2017" t="s">
        <v>1724</v>
      </c>
      <c r="D55" s="2017" t="s">
        <v>1725</v>
      </c>
      <c r="E55" s="2017" t="s">
        <v>1618</v>
      </c>
      <c r="F55" s="2017" t="s">
        <v>1762</v>
      </c>
      <c r="G55" s="2018">
        <v>46330000</v>
      </c>
      <c r="H55" s="2024"/>
    </row>
    <row r="56" spans="1:8" ht="15.75" customHeight="1" x14ac:dyDescent="0.25">
      <c r="A56" s="2017" t="s">
        <v>1817</v>
      </c>
      <c r="B56" s="2017" t="s">
        <v>1592</v>
      </c>
      <c r="C56" s="2017" t="s">
        <v>1724</v>
      </c>
      <c r="D56" s="2017" t="s">
        <v>1725</v>
      </c>
      <c r="E56" s="2017" t="s">
        <v>1618</v>
      </c>
      <c r="F56" s="2017" t="s">
        <v>1622</v>
      </c>
      <c r="G56" s="2018">
        <v>880670500</v>
      </c>
      <c r="H56" s="2024"/>
    </row>
    <row r="57" spans="1:8" ht="15.75" customHeight="1" x14ac:dyDescent="0.25">
      <c r="A57" s="2017" t="s">
        <v>1817</v>
      </c>
      <c r="B57" s="2017" t="s">
        <v>1592</v>
      </c>
      <c r="C57" s="2017" t="s">
        <v>1724</v>
      </c>
      <c r="D57" s="2017" t="s">
        <v>1725</v>
      </c>
      <c r="E57" s="2017" t="s">
        <v>1615</v>
      </c>
      <c r="F57" s="2017" t="s">
        <v>1646</v>
      </c>
      <c r="G57" s="2018">
        <v>198256860</v>
      </c>
      <c r="H57" s="2024"/>
    </row>
    <row r="58" spans="1:8" ht="15.75" customHeight="1" x14ac:dyDescent="0.25">
      <c r="A58" s="2017" t="s">
        <v>1817</v>
      </c>
      <c r="B58" s="2017" t="s">
        <v>1592</v>
      </c>
      <c r="C58" s="2017" t="s">
        <v>1724</v>
      </c>
      <c r="D58" s="2017" t="s">
        <v>1725</v>
      </c>
      <c r="E58" s="2017" t="s">
        <v>1615</v>
      </c>
      <c r="F58" s="2017" t="s">
        <v>1763</v>
      </c>
      <c r="G58" s="2018">
        <v>88586860</v>
      </c>
      <c r="H58" s="2024"/>
    </row>
    <row r="59" spans="1:8" ht="15.75" customHeight="1" x14ac:dyDescent="0.25">
      <c r="A59" s="2017" t="s">
        <v>1817</v>
      </c>
      <c r="B59" s="2017" t="s">
        <v>1592</v>
      </c>
      <c r="C59" s="2017" t="s">
        <v>1724</v>
      </c>
      <c r="D59" s="2017" t="s">
        <v>1725</v>
      </c>
      <c r="E59" s="2017" t="s">
        <v>1615</v>
      </c>
      <c r="F59" s="2017" t="s">
        <v>1616</v>
      </c>
      <c r="G59" s="2018">
        <v>109670000</v>
      </c>
      <c r="H59" s="2024"/>
    </row>
    <row r="60" spans="1:8" ht="15.75" customHeight="1" x14ac:dyDescent="0.25">
      <c r="A60" s="2017" t="s">
        <v>1817</v>
      </c>
      <c r="B60" s="2017" t="s">
        <v>1592</v>
      </c>
      <c r="C60" s="2017" t="s">
        <v>1714</v>
      </c>
      <c r="D60" s="2017" t="s">
        <v>1646</v>
      </c>
      <c r="E60" s="2017" t="s">
        <v>1646</v>
      </c>
      <c r="F60" s="2017" t="s">
        <v>1646</v>
      </c>
      <c r="G60" s="2018">
        <v>1370667410</v>
      </c>
      <c r="H60" s="2024"/>
    </row>
    <row r="61" spans="1:8" ht="15.75" customHeight="1" x14ac:dyDescent="0.25">
      <c r="A61" s="2017" t="s">
        <v>1817</v>
      </c>
      <c r="B61" s="2017" t="s">
        <v>1592</v>
      </c>
      <c r="C61" s="2017" t="s">
        <v>1714</v>
      </c>
      <c r="D61" s="2017" t="s">
        <v>1715</v>
      </c>
      <c r="E61" s="2017" t="s">
        <v>1646</v>
      </c>
      <c r="F61" s="2017" t="s">
        <v>1646</v>
      </c>
      <c r="G61" s="2018">
        <v>1370667410</v>
      </c>
      <c r="H61" s="2024"/>
    </row>
    <row r="62" spans="1:8" ht="15.75" customHeight="1" x14ac:dyDescent="0.25">
      <c r="A62" s="2017" t="s">
        <v>1817</v>
      </c>
      <c r="B62" s="2017" t="s">
        <v>1592</v>
      </c>
      <c r="C62" s="2017" t="s">
        <v>1714</v>
      </c>
      <c r="D62" s="2017" t="s">
        <v>1715</v>
      </c>
      <c r="E62" s="2017" t="s">
        <v>1607</v>
      </c>
      <c r="F62" s="2017" t="s">
        <v>1646</v>
      </c>
      <c r="G62" s="2018">
        <v>10492438</v>
      </c>
      <c r="H62" s="2024"/>
    </row>
    <row r="63" spans="1:8" ht="15.75" customHeight="1" x14ac:dyDescent="0.25">
      <c r="A63" s="2017" t="s">
        <v>1817</v>
      </c>
      <c r="B63" s="2017" t="s">
        <v>1592</v>
      </c>
      <c r="C63" s="2017" t="s">
        <v>1714</v>
      </c>
      <c r="D63" s="2017" t="s">
        <v>1715</v>
      </c>
      <c r="E63" s="2017" t="s">
        <v>1607</v>
      </c>
      <c r="F63" s="2017" t="s">
        <v>1608</v>
      </c>
      <c r="G63" s="2018">
        <v>10492438</v>
      </c>
      <c r="H63" s="2024"/>
    </row>
    <row r="64" spans="1:8" ht="15.75" customHeight="1" x14ac:dyDescent="0.25">
      <c r="A64" s="2017" t="s">
        <v>1817</v>
      </c>
      <c r="B64" s="2017" t="s">
        <v>1592</v>
      </c>
      <c r="C64" s="2017" t="s">
        <v>1714</v>
      </c>
      <c r="D64" s="2017" t="s">
        <v>1715</v>
      </c>
      <c r="E64" s="2017" t="s">
        <v>1727</v>
      </c>
      <c r="F64" s="2017" t="s">
        <v>1646</v>
      </c>
      <c r="G64" s="2018">
        <v>691540000</v>
      </c>
      <c r="H64" s="2024"/>
    </row>
    <row r="65" spans="1:8" ht="15.75" customHeight="1" x14ac:dyDescent="0.25">
      <c r="A65" s="2017" t="s">
        <v>1817</v>
      </c>
      <c r="B65" s="2017" t="s">
        <v>1592</v>
      </c>
      <c r="C65" s="2017" t="s">
        <v>1714</v>
      </c>
      <c r="D65" s="2017" t="s">
        <v>1715</v>
      </c>
      <c r="E65" s="2017" t="s">
        <v>1727</v>
      </c>
      <c r="F65" s="2017" t="s">
        <v>1786</v>
      </c>
      <c r="G65" s="2018">
        <v>128310000</v>
      </c>
      <c r="H65" s="2024"/>
    </row>
    <row r="66" spans="1:8" ht="15.75" customHeight="1" x14ac:dyDescent="0.25">
      <c r="A66" s="2017" t="s">
        <v>1817</v>
      </c>
      <c r="B66" s="2017" t="s">
        <v>1592</v>
      </c>
      <c r="C66" s="2017" t="s">
        <v>1714</v>
      </c>
      <c r="D66" s="2017" t="s">
        <v>1715</v>
      </c>
      <c r="E66" s="2017" t="s">
        <v>1727</v>
      </c>
      <c r="F66" s="2017" t="s">
        <v>1728</v>
      </c>
      <c r="G66" s="2018">
        <v>563230000</v>
      </c>
      <c r="H66" s="2024"/>
    </row>
    <row r="67" spans="1:8" ht="15.75" customHeight="1" x14ac:dyDescent="0.25">
      <c r="A67" s="2017" t="s">
        <v>1817</v>
      </c>
      <c r="B67" s="2017" t="s">
        <v>1592</v>
      </c>
      <c r="C67" s="2017" t="s">
        <v>1714</v>
      </c>
      <c r="D67" s="2017" t="s">
        <v>1715</v>
      </c>
      <c r="E67" s="2017" t="s">
        <v>1623</v>
      </c>
      <c r="F67" s="2017" t="s">
        <v>1646</v>
      </c>
      <c r="G67" s="2018">
        <v>672734</v>
      </c>
      <c r="H67" s="2024"/>
    </row>
    <row r="68" spans="1:8" ht="15.75" customHeight="1" x14ac:dyDescent="0.25">
      <c r="A68" s="2017" t="s">
        <v>1817</v>
      </c>
      <c r="B68" s="2017" t="s">
        <v>1592</v>
      </c>
      <c r="C68" s="2017" t="s">
        <v>1714</v>
      </c>
      <c r="D68" s="2017" t="s">
        <v>1715</v>
      </c>
      <c r="E68" s="2017" t="s">
        <v>1623</v>
      </c>
      <c r="F68" s="2017" t="s">
        <v>1624</v>
      </c>
      <c r="G68" s="2018">
        <v>672734</v>
      </c>
      <c r="H68" s="2024"/>
    </row>
    <row r="69" spans="1:8" ht="15.75" customHeight="1" x14ac:dyDescent="0.25">
      <c r="A69" s="2017" t="s">
        <v>1817</v>
      </c>
      <c r="B69" s="2017" t="s">
        <v>1592</v>
      </c>
      <c r="C69" s="2017" t="s">
        <v>1714</v>
      </c>
      <c r="D69" s="2017" t="s">
        <v>1715</v>
      </c>
      <c r="E69" s="2017" t="s">
        <v>1652</v>
      </c>
      <c r="F69" s="2017" t="s">
        <v>1646</v>
      </c>
      <c r="G69" s="2018">
        <v>26988828</v>
      </c>
      <c r="H69" s="2024"/>
    </row>
    <row r="70" spans="1:8" ht="15.75" customHeight="1" x14ac:dyDescent="0.25">
      <c r="A70" s="2017" t="s">
        <v>1817</v>
      </c>
      <c r="B70" s="2017" t="s">
        <v>1592</v>
      </c>
      <c r="C70" s="2017" t="s">
        <v>1714</v>
      </c>
      <c r="D70" s="2017" t="s">
        <v>1715</v>
      </c>
      <c r="E70" s="2017" t="s">
        <v>1652</v>
      </c>
      <c r="F70" s="2017" t="s">
        <v>1653</v>
      </c>
      <c r="G70" s="2018">
        <v>26988828</v>
      </c>
      <c r="H70" s="2024"/>
    </row>
    <row r="71" spans="1:8" ht="15.75" customHeight="1" x14ac:dyDescent="0.25">
      <c r="A71" s="2017" t="s">
        <v>1817</v>
      </c>
      <c r="B71" s="2017" t="s">
        <v>1592</v>
      </c>
      <c r="C71" s="2017" t="s">
        <v>1714</v>
      </c>
      <c r="D71" s="2017" t="s">
        <v>1715</v>
      </c>
      <c r="E71" s="2017" t="s">
        <v>1609</v>
      </c>
      <c r="F71" s="2017" t="s">
        <v>1646</v>
      </c>
      <c r="G71" s="2018">
        <v>5720000</v>
      </c>
      <c r="H71" s="2024"/>
    </row>
    <row r="72" spans="1:8" ht="15.75" customHeight="1" x14ac:dyDescent="0.25">
      <c r="A72" s="2017" t="s">
        <v>1817</v>
      </c>
      <c r="B72" s="2017" t="s">
        <v>1592</v>
      </c>
      <c r="C72" s="2017" t="s">
        <v>1714</v>
      </c>
      <c r="D72" s="2017" t="s">
        <v>1715</v>
      </c>
      <c r="E72" s="2017" t="s">
        <v>1609</v>
      </c>
      <c r="F72" s="2017" t="s">
        <v>1612</v>
      </c>
      <c r="G72" s="2018">
        <v>5720000</v>
      </c>
      <c r="H72" s="2024"/>
    </row>
    <row r="73" spans="1:8" ht="15.75" customHeight="1" x14ac:dyDescent="0.25">
      <c r="A73" s="2017" t="s">
        <v>1817</v>
      </c>
      <c r="B73" s="2017" t="s">
        <v>1592</v>
      </c>
      <c r="C73" s="2017" t="s">
        <v>1714</v>
      </c>
      <c r="D73" s="2017" t="s">
        <v>1715</v>
      </c>
      <c r="E73" s="2017" t="s">
        <v>1654</v>
      </c>
      <c r="F73" s="2017" t="s">
        <v>1646</v>
      </c>
      <c r="G73" s="2018">
        <v>10495000</v>
      </c>
      <c r="H73" s="2024"/>
    </row>
    <row r="74" spans="1:8" ht="15.75" customHeight="1" x14ac:dyDescent="0.25">
      <c r="A74" s="2017" t="s">
        <v>1817</v>
      </c>
      <c r="B74" s="2017" t="s">
        <v>1592</v>
      </c>
      <c r="C74" s="2017" t="s">
        <v>1714</v>
      </c>
      <c r="D74" s="2017" t="s">
        <v>1715</v>
      </c>
      <c r="E74" s="2017" t="s">
        <v>1654</v>
      </c>
      <c r="F74" s="2017" t="s">
        <v>1655</v>
      </c>
      <c r="G74" s="2018">
        <v>10495000</v>
      </c>
      <c r="H74" s="2024"/>
    </row>
    <row r="75" spans="1:8" ht="15.75" customHeight="1" x14ac:dyDescent="0.25">
      <c r="A75" s="2017" t="s">
        <v>1817</v>
      </c>
      <c r="B75" s="2017" t="s">
        <v>1592</v>
      </c>
      <c r="C75" s="2017" t="s">
        <v>1714</v>
      </c>
      <c r="D75" s="2017" t="s">
        <v>1715</v>
      </c>
      <c r="E75" s="2017" t="s">
        <v>1618</v>
      </c>
      <c r="F75" s="2017" t="s">
        <v>1646</v>
      </c>
      <c r="G75" s="2018">
        <v>85561000</v>
      </c>
      <c r="H75" s="2024"/>
    </row>
    <row r="76" spans="1:8" ht="15.75" customHeight="1" x14ac:dyDescent="0.25">
      <c r="A76" s="2017" t="s">
        <v>1817</v>
      </c>
      <c r="B76" s="2017" t="s">
        <v>1592</v>
      </c>
      <c r="C76" s="2017" t="s">
        <v>1714</v>
      </c>
      <c r="D76" s="2017" t="s">
        <v>1715</v>
      </c>
      <c r="E76" s="2017" t="s">
        <v>1618</v>
      </c>
      <c r="F76" s="2017" t="s">
        <v>1716</v>
      </c>
      <c r="G76" s="2018">
        <v>20000000</v>
      </c>
      <c r="H76" s="2024"/>
    </row>
    <row r="77" spans="1:8" ht="15.75" customHeight="1" x14ac:dyDescent="0.25">
      <c r="A77" s="2017" t="s">
        <v>1817</v>
      </c>
      <c r="B77" s="2017" t="s">
        <v>1592</v>
      </c>
      <c r="C77" s="2017" t="s">
        <v>1714</v>
      </c>
      <c r="D77" s="2017" t="s">
        <v>1715</v>
      </c>
      <c r="E77" s="2017" t="s">
        <v>1618</v>
      </c>
      <c r="F77" s="2017" t="s">
        <v>1622</v>
      </c>
      <c r="G77" s="2018">
        <v>65561000</v>
      </c>
      <c r="H77" s="2024"/>
    </row>
    <row r="78" spans="1:8" ht="15.75" customHeight="1" x14ac:dyDescent="0.25">
      <c r="A78" s="2017" t="s">
        <v>1817</v>
      </c>
      <c r="B78" s="2017" t="s">
        <v>1592</v>
      </c>
      <c r="C78" s="2017" t="s">
        <v>1714</v>
      </c>
      <c r="D78" s="2017" t="s">
        <v>1715</v>
      </c>
      <c r="E78" s="2017" t="s">
        <v>1615</v>
      </c>
      <c r="F78" s="2017" t="s">
        <v>1646</v>
      </c>
      <c r="G78" s="2018">
        <v>539197410</v>
      </c>
      <c r="H78" s="2024"/>
    </row>
    <row r="79" spans="1:8" ht="15.75" customHeight="1" x14ac:dyDescent="0.25">
      <c r="A79" s="2017" t="s">
        <v>1817</v>
      </c>
      <c r="B79" s="2017" t="s">
        <v>1592</v>
      </c>
      <c r="C79" s="2017" t="s">
        <v>1714</v>
      </c>
      <c r="D79" s="2017" t="s">
        <v>1715</v>
      </c>
      <c r="E79" s="2017" t="s">
        <v>1615</v>
      </c>
      <c r="F79" s="2017" t="s">
        <v>1763</v>
      </c>
      <c r="G79" s="2018">
        <v>25645200</v>
      </c>
      <c r="H79" s="2024"/>
    </row>
    <row r="80" spans="1:8" ht="15.75" customHeight="1" x14ac:dyDescent="0.25">
      <c r="A80" s="2017" t="s">
        <v>1817</v>
      </c>
      <c r="B80" s="2017" t="s">
        <v>1592</v>
      </c>
      <c r="C80" s="2017" t="s">
        <v>1714</v>
      </c>
      <c r="D80" s="2017" t="s">
        <v>1715</v>
      </c>
      <c r="E80" s="2017" t="s">
        <v>1615</v>
      </c>
      <c r="F80" s="2017" t="s">
        <v>1616</v>
      </c>
      <c r="G80" s="2018">
        <v>513552210</v>
      </c>
      <c r="H80" s="2024"/>
    </row>
    <row r="81" spans="1:8" ht="15.75" customHeight="1" x14ac:dyDescent="0.25">
      <c r="A81" s="2017" t="s">
        <v>1817</v>
      </c>
      <c r="B81" s="2017" t="s">
        <v>1592</v>
      </c>
      <c r="C81" s="2017" t="s">
        <v>1593</v>
      </c>
      <c r="D81" s="2017" t="s">
        <v>1646</v>
      </c>
      <c r="E81" s="2017" t="s">
        <v>1646</v>
      </c>
      <c r="F81" s="2017" t="s">
        <v>1646</v>
      </c>
      <c r="G81" s="2018">
        <v>115095521953</v>
      </c>
      <c r="H81" s="2024"/>
    </row>
    <row r="82" spans="1:8" ht="15.75" customHeight="1" x14ac:dyDescent="0.25">
      <c r="A82" s="2017" t="s">
        <v>1817</v>
      </c>
      <c r="B82" s="2017" t="s">
        <v>1592</v>
      </c>
      <c r="C82" s="2017" t="s">
        <v>1593</v>
      </c>
      <c r="D82" s="2017" t="s">
        <v>1729</v>
      </c>
      <c r="E82" s="2017" t="s">
        <v>1646</v>
      </c>
      <c r="F82" s="2017" t="s">
        <v>1646</v>
      </c>
      <c r="G82" s="2018">
        <v>34070525819</v>
      </c>
      <c r="H82" s="2024"/>
    </row>
    <row r="83" spans="1:8" ht="15.75" customHeight="1" x14ac:dyDescent="0.25">
      <c r="A83" s="2017" t="s">
        <v>1817</v>
      </c>
      <c r="B83" s="2017" t="s">
        <v>1592</v>
      </c>
      <c r="C83" s="2017" t="s">
        <v>1593</v>
      </c>
      <c r="D83" s="2017" t="s">
        <v>1729</v>
      </c>
      <c r="E83" s="2017" t="s">
        <v>1730</v>
      </c>
      <c r="F83" s="2017" t="s">
        <v>1646</v>
      </c>
      <c r="G83" s="2018">
        <v>9793379452</v>
      </c>
      <c r="H83" s="2024"/>
    </row>
    <row r="84" spans="1:8" ht="15.75" customHeight="1" x14ac:dyDescent="0.25">
      <c r="A84" s="2017" t="s">
        <v>1817</v>
      </c>
      <c r="B84" s="2017" t="s">
        <v>1592</v>
      </c>
      <c r="C84" s="2017" t="s">
        <v>1593</v>
      </c>
      <c r="D84" s="2017" t="s">
        <v>1729</v>
      </c>
      <c r="E84" s="2017" t="s">
        <v>1730</v>
      </c>
      <c r="F84" s="2017" t="s">
        <v>1731</v>
      </c>
      <c r="G84" s="2018">
        <v>9793379452</v>
      </c>
      <c r="H84" s="2024"/>
    </row>
    <row r="85" spans="1:8" ht="15.75" customHeight="1" x14ac:dyDescent="0.25">
      <c r="A85" s="2017" t="s">
        <v>1817</v>
      </c>
      <c r="B85" s="2017" t="s">
        <v>1592</v>
      </c>
      <c r="C85" s="2017" t="s">
        <v>1593</v>
      </c>
      <c r="D85" s="2017" t="s">
        <v>1729</v>
      </c>
      <c r="E85" s="2017" t="s">
        <v>1607</v>
      </c>
      <c r="F85" s="2017" t="s">
        <v>1646</v>
      </c>
      <c r="G85" s="2018">
        <v>7498684876</v>
      </c>
      <c r="H85" s="2024"/>
    </row>
    <row r="86" spans="1:8" ht="15.75" customHeight="1" x14ac:dyDescent="0.25">
      <c r="A86" s="2017" t="s">
        <v>1817</v>
      </c>
      <c r="B86" s="2017" t="s">
        <v>1592</v>
      </c>
      <c r="C86" s="2017" t="s">
        <v>1593</v>
      </c>
      <c r="D86" s="2017" t="s">
        <v>1729</v>
      </c>
      <c r="E86" s="2017" t="s">
        <v>1607</v>
      </c>
      <c r="F86" s="2017" t="s">
        <v>1734</v>
      </c>
      <c r="G86" s="2018">
        <v>191733165</v>
      </c>
      <c r="H86" s="2024"/>
    </row>
    <row r="87" spans="1:8" ht="15.75" customHeight="1" x14ac:dyDescent="0.25">
      <c r="A87" s="2017" t="s">
        <v>1817</v>
      </c>
      <c r="B87" s="2017" t="s">
        <v>1592</v>
      </c>
      <c r="C87" s="2017" t="s">
        <v>1593</v>
      </c>
      <c r="D87" s="2017" t="s">
        <v>1729</v>
      </c>
      <c r="E87" s="2017" t="s">
        <v>1607</v>
      </c>
      <c r="F87" s="2017" t="s">
        <v>1735</v>
      </c>
      <c r="G87" s="2018">
        <v>854738202</v>
      </c>
      <c r="H87" s="2024"/>
    </row>
    <row r="88" spans="1:8" ht="15.75" customHeight="1" x14ac:dyDescent="0.25">
      <c r="A88" s="2017" t="s">
        <v>1817</v>
      </c>
      <c r="B88" s="2017" t="s">
        <v>1592</v>
      </c>
      <c r="C88" s="2017" t="s">
        <v>1593</v>
      </c>
      <c r="D88" s="2017" t="s">
        <v>1729</v>
      </c>
      <c r="E88" s="2017" t="s">
        <v>1607</v>
      </c>
      <c r="F88" s="2017" t="s">
        <v>1608</v>
      </c>
      <c r="G88" s="2018">
        <v>223137895</v>
      </c>
      <c r="H88" s="2024"/>
    </row>
    <row r="89" spans="1:8" ht="15.75" customHeight="1" x14ac:dyDescent="0.25">
      <c r="A89" s="2017" t="s">
        <v>1817</v>
      </c>
      <c r="B89" s="2017" t="s">
        <v>1592</v>
      </c>
      <c r="C89" s="2017" t="s">
        <v>1593</v>
      </c>
      <c r="D89" s="2017" t="s">
        <v>1729</v>
      </c>
      <c r="E89" s="2017" t="s">
        <v>1607</v>
      </c>
      <c r="F89" s="2017" t="s">
        <v>1736</v>
      </c>
      <c r="G89" s="2018">
        <v>4902765585</v>
      </c>
      <c r="H89" s="2024"/>
    </row>
    <row r="90" spans="1:8" ht="15.75" customHeight="1" x14ac:dyDescent="0.25">
      <c r="A90" s="2017" t="s">
        <v>1817</v>
      </c>
      <c r="B90" s="2017" t="s">
        <v>1592</v>
      </c>
      <c r="C90" s="2017" t="s">
        <v>1593</v>
      </c>
      <c r="D90" s="2017" t="s">
        <v>1729</v>
      </c>
      <c r="E90" s="2017" t="s">
        <v>1607</v>
      </c>
      <c r="F90" s="2017" t="s">
        <v>1737</v>
      </c>
      <c r="G90" s="2018">
        <v>5616000</v>
      </c>
      <c r="H90" s="2024"/>
    </row>
    <row r="91" spans="1:8" ht="15.75" customHeight="1" x14ac:dyDescent="0.25">
      <c r="A91" s="2017" t="s">
        <v>1817</v>
      </c>
      <c r="B91" s="2017" t="s">
        <v>1592</v>
      </c>
      <c r="C91" s="2017" t="s">
        <v>1593</v>
      </c>
      <c r="D91" s="2017" t="s">
        <v>1729</v>
      </c>
      <c r="E91" s="2017" t="s">
        <v>1607</v>
      </c>
      <c r="F91" s="2017" t="s">
        <v>1726</v>
      </c>
      <c r="G91" s="2018">
        <v>1320694029</v>
      </c>
      <c r="H91" s="2024"/>
    </row>
    <row r="92" spans="1:8" ht="15.75" customHeight="1" x14ac:dyDescent="0.25">
      <c r="A92" s="2017" t="s">
        <v>1817</v>
      </c>
      <c r="B92" s="2017" t="s">
        <v>1592</v>
      </c>
      <c r="C92" s="2017" t="s">
        <v>1593</v>
      </c>
      <c r="D92" s="2017" t="s">
        <v>1729</v>
      </c>
      <c r="E92" s="2017" t="s">
        <v>1692</v>
      </c>
      <c r="F92" s="2017" t="s">
        <v>1646</v>
      </c>
      <c r="G92" s="2018">
        <v>70896000</v>
      </c>
      <c r="H92" s="2024"/>
    </row>
    <row r="93" spans="1:8" ht="15.75" customHeight="1" x14ac:dyDescent="0.25">
      <c r="A93" s="2017" t="s">
        <v>1817</v>
      </c>
      <c r="B93" s="2017" t="s">
        <v>1592</v>
      </c>
      <c r="C93" s="2017" t="s">
        <v>1593</v>
      </c>
      <c r="D93" s="2017" t="s">
        <v>1729</v>
      </c>
      <c r="E93" s="2017" t="s">
        <v>1692</v>
      </c>
      <c r="F93" s="2017" t="s">
        <v>1740</v>
      </c>
      <c r="G93" s="2018">
        <v>37200000</v>
      </c>
      <c r="H93" s="2024"/>
    </row>
    <row r="94" spans="1:8" ht="15.75" customHeight="1" x14ac:dyDescent="0.25">
      <c r="A94" s="2017" t="s">
        <v>1817</v>
      </c>
      <c r="B94" s="2017" t="s">
        <v>1592</v>
      </c>
      <c r="C94" s="2017" t="s">
        <v>1593</v>
      </c>
      <c r="D94" s="2017" t="s">
        <v>1729</v>
      </c>
      <c r="E94" s="2017" t="s">
        <v>1692</v>
      </c>
      <c r="F94" s="2017" t="s">
        <v>1693</v>
      </c>
      <c r="G94" s="2018">
        <v>33696000</v>
      </c>
      <c r="H94" s="2024"/>
    </row>
    <row r="95" spans="1:8" ht="15.75" customHeight="1" x14ac:dyDescent="0.25">
      <c r="A95" s="2017" t="s">
        <v>1817</v>
      </c>
      <c r="B95" s="2017" t="s">
        <v>1592</v>
      </c>
      <c r="C95" s="2017" t="s">
        <v>1593</v>
      </c>
      <c r="D95" s="2017" t="s">
        <v>1729</v>
      </c>
      <c r="E95" s="2017" t="s">
        <v>1741</v>
      </c>
      <c r="F95" s="2017" t="s">
        <v>1646</v>
      </c>
      <c r="G95" s="2018">
        <v>958776000</v>
      </c>
      <c r="H95" s="2024"/>
    </row>
    <row r="96" spans="1:8" ht="15.75" customHeight="1" x14ac:dyDescent="0.25">
      <c r="A96" s="2017" t="s">
        <v>1817</v>
      </c>
      <c r="B96" s="2017" t="s">
        <v>1592</v>
      </c>
      <c r="C96" s="2017" t="s">
        <v>1593</v>
      </c>
      <c r="D96" s="2017" t="s">
        <v>1729</v>
      </c>
      <c r="E96" s="2017" t="s">
        <v>1741</v>
      </c>
      <c r="F96" s="2017" t="s">
        <v>1742</v>
      </c>
      <c r="G96" s="2018">
        <v>952940000</v>
      </c>
      <c r="H96" s="2024"/>
    </row>
    <row r="97" spans="1:8" ht="15.75" customHeight="1" x14ac:dyDescent="0.25">
      <c r="A97" s="2017" t="s">
        <v>1817</v>
      </c>
      <c r="B97" s="2017" t="s">
        <v>1592</v>
      </c>
      <c r="C97" s="2017" t="s">
        <v>1593</v>
      </c>
      <c r="D97" s="2017" t="s">
        <v>1729</v>
      </c>
      <c r="E97" s="2017" t="s">
        <v>1741</v>
      </c>
      <c r="F97" s="2017" t="s">
        <v>1782</v>
      </c>
      <c r="G97" s="2018">
        <v>936000</v>
      </c>
      <c r="H97" s="2024"/>
    </row>
    <row r="98" spans="1:8" ht="15.75" customHeight="1" x14ac:dyDescent="0.25">
      <c r="A98" s="2017" t="s">
        <v>1817</v>
      </c>
      <c r="B98" s="2017" t="s">
        <v>1592</v>
      </c>
      <c r="C98" s="2017" t="s">
        <v>1593</v>
      </c>
      <c r="D98" s="2017" t="s">
        <v>1729</v>
      </c>
      <c r="E98" s="2017" t="s">
        <v>1741</v>
      </c>
      <c r="F98" s="2017" t="s">
        <v>1783</v>
      </c>
      <c r="G98" s="2018">
        <v>4900000</v>
      </c>
      <c r="H98" s="2024"/>
    </row>
    <row r="99" spans="1:8" ht="15.75" customHeight="1" x14ac:dyDescent="0.25">
      <c r="A99" s="2017" t="s">
        <v>1817</v>
      </c>
      <c r="B99" s="2017" t="s">
        <v>1592</v>
      </c>
      <c r="C99" s="2017" t="s">
        <v>1593</v>
      </c>
      <c r="D99" s="2017" t="s">
        <v>1729</v>
      </c>
      <c r="E99" s="2017" t="s">
        <v>1784</v>
      </c>
      <c r="F99" s="2017" t="s">
        <v>1646</v>
      </c>
      <c r="G99" s="2018">
        <v>88200000</v>
      </c>
      <c r="H99" s="2024"/>
    </row>
    <row r="100" spans="1:8" ht="15.75" customHeight="1" x14ac:dyDescent="0.25">
      <c r="A100" s="2017" t="s">
        <v>1817</v>
      </c>
      <c r="B100" s="2017" t="s">
        <v>1592</v>
      </c>
      <c r="C100" s="2017" t="s">
        <v>1593</v>
      </c>
      <c r="D100" s="2017" t="s">
        <v>1729</v>
      </c>
      <c r="E100" s="2017" t="s">
        <v>1784</v>
      </c>
      <c r="F100" s="2017" t="s">
        <v>1785</v>
      </c>
      <c r="G100" s="2018">
        <v>88200000</v>
      </c>
      <c r="H100" s="2024"/>
    </row>
    <row r="101" spans="1:8" ht="15.75" customHeight="1" x14ac:dyDescent="0.25">
      <c r="A101" s="2017" t="s">
        <v>1817</v>
      </c>
      <c r="B101" s="2017" t="s">
        <v>1592</v>
      </c>
      <c r="C101" s="2017" t="s">
        <v>1593</v>
      </c>
      <c r="D101" s="2017" t="s">
        <v>1729</v>
      </c>
      <c r="E101" s="2017" t="s">
        <v>1743</v>
      </c>
      <c r="F101" s="2017" t="s">
        <v>1646</v>
      </c>
      <c r="G101" s="2018">
        <v>2441972959</v>
      </c>
      <c r="H101" s="2024"/>
    </row>
    <row r="102" spans="1:8" ht="15.75" customHeight="1" x14ac:dyDescent="0.25">
      <c r="A102" s="2017" t="s">
        <v>1817</v>
      </c>
      <c r="B102" s="2017" t="s">
        <v>1592</v>
      </c>
      <c r="C102" s="2017" t="s">
        <v>1593</v>
      </c>
      <c r="D102" s="2017" t="s">
        <v>1729</v>
      </c>
      <c r="E102" s="2017" t="s">
        <v>1743</v>
      </c>
      <c r="F102" s="2017" t="s">
        <v>1744</v>
      </c>
      <c r="G102" s="2018">
        <v>1903470860</v>
      </c>
      <c r="H102" s="2024"/>
    </row>
    <row r="103" spans="1:8" ht="15.75" customHeight="1" x14ac:dyDescent="0.25">
      <c r="A103" s="2017" t="s">
        <v>1817</v>
      </c>
      <c r="B103" s="2017" t="s">
        <v>1592</v>
      </c>
      <c r="C103" s="2017" t="s">
        <v>1593</v>
      </c>
      <c r="D103" s="2017" t="s">
        <v>1729</v>
      </c>
      <c r="E103" s="2017" t="s">
        <v>1743</v>
      </c>
      <c r="F103" s="2017" t="s">
        <v>1745</v>
      </c>
      <c r="G103" s="2018">
        <v>334425777</v>
      </c>
      <c r="H103" s="2024"/>
    </row>
    <row r="104" spans="1:8" ht="15.75" customHeight="1" x14ac:dyDescent="0.25">
      <c r="A104" s="2017" t="s">
        <v>1817</v>
      </c>
      <c r="B104" s="2017" t="s">
        <v>1592</v>
      </c>
      <c r="C104" s="2017" t="s">
        <v>1593</v>
      </c>
      <c r="D104" s="2017" t="s">
        <v>1729</v>
      </c>
      <c r="E104" s="2017" t="s">
        <v>1743</v>
      </c>
      <c r="F104" s="2017" t="s">
        <v>1746</v>
      </c>
      <c r="G104" s="2018">
        <v>92669524</v>
      </c>
      <c r="H104" s="2024"/>
    </row>
    <row r="105" spans="1:8" ht="15.75" customHeight="1" x14ac:dyDescent="0.25">
      <c r="A105" s="2017" t="s">
        <v>1817</v>
      </c>
      <c r="B105" s="2017" t="s">
        <v>1592</v>
      </c>
      <c r="C105" s="2017" t="s">
        <v>1593</v>
      </c>
      <c r="D105" s="2017" t="s">
        <v>1729</v>
      </c>
      <c r="E105" s="2017" t="s">
        <v>1743</v>
      </c>
      <c r="F105" s="2017" t="s">
        <v>1747</v>
      </c>
      <c r="G105" s="2018">
        <v>111406798</v>
      </c>
      <c r="H105" s="2024"/>
    </row>
    <row r="106" spans="1:8" ht="15.75" customHeight="1" x14ac:dyDescent="0.25">
      <c r="A106" s="2017" t="s">
        <v>1817</v>
      </c>
      <c r="B106" s="2017" t="s">
        <v>1592</v>
      </c>
      <c r="C106" s="2017" t="s">
        <v>1593</v>
      </c>
      <c r="D106" s="2017" t="s">
        <v>1729</v>
      </c>
      <c r="E106" s="2017" t="s">
        <v>1748</v>
      </c>
      <c r="F106" s="2017" t="s">
        <v>1646</v>
      </c>
      <c r="G106" s="2018">
        <v>927717361</v>
      </c>
      <c r="H106" s="2024"/>
    </row>
    <row r="107" spans="1:8" ht="15.75" customHeight="1" x14ac:dyDescent="0.25">
      <c r="A107" s="2017" t="s">
        <v>1817</v>
      </c>
      <c r="B107" s="2017" t="s">
        <v>1592</v>
      </c>
      <c r="C107" s="2017" t="s">
        <v>1593</v>
      </c>
      <c r="D107" s="2017" t="s">
        <v>1729</v>
      </c>
      <c r="E107" s="2017" t="s">
        <v>1748</v>
      </c>
      <c r="F107" s="2017" t="s">
        <v>1749</v>
      </c>
      <c r="G107" s="2018">
        <v>147360000</v>
      </c>
      <c r="H107" s="2024"/>
    </row>
    <row r="108" spans="1:8" ht="15.75" customHeight="1" x14ac:dyDescent="0.25">
      <c r="A108" s="2017" t="s">
        <v>1817</v>
      </c>
      <c r="B108" s="2017" t="s">
        <v>1592</v>
      </c>
      <c r="C108" s="2017" t="s">
        <v>1593</v>
      </c>
      <c r="D108" s="2017" t="s">
        <v>1729</v>
      </c>
      <c r="E108" s="2017" t="s">
        <v>1748</v>
      </c>
      <c r="F108" s="2017" t="s">
        <v>1767</v>
      </c>
      <c r="G108" s="2018">
        <v>780357361</v>
      </c>
      <c r="H108" s="2024"/>
    </row>
    <row r="109" spans="1:8" ht="15.75" customHeight="1" x14ac:dyDescent="0.25">
      <c r="A109" s="2017" t="s">
        <v>1817</v>
      </c>
      <c r="B109" s="2017" t="s">
        <v>1592</v>
      </c>
      <c r="C109" s="2017" t="s">
        <v>1593</v>
      </c>
      <c r="D109" s="2017" t="s">
        <v>1729</v>
      </c>
      <c r="E109" s="2017" t="s">
        <v>1751</v>
      </c>
      <c r="F109" s="2017" t="s">
        <v>1646</v>
      </c>
      <c r="G109" s="2018">
        <v>192125470</v>
      </c>
      <c r="H109" s="2024"/>
    </row>
    <row r="110" spans="1:8" ht="15.75" customHeight="1" x14ac:dyDescent="0.25">
      <c r="A110" s="2017" t="s">
        <v>1817</v>
      </c>
      <c r="B110" s="2017" t="s">
        <v>1592</v>
      </c>
      <c r="C110" s="2017" t="s">
        <v>1593</v>
      </c>
      <c r="D110" s="2017" t="s">
        <v>1729</v>
      </c>
      <c r="E110" s="2017" t="s">
        <v>1751</v>
      </c>
      <c r="F110" s="2017" t="s">
        <v>1752</v>
      </c>
      <c r="G110" s="2018">
        <v>128945892</v>
      </c>
      <c r="H110" s="2024"/>
    </row>
    <row r="111" spans="1:8" ht="15.75" customHeight="1" x14ac:dyDescent="0.25">
      <c r="A111" s="2017" t="s">
        <v>1817</v>
      </c>
      <c r="B111" s="2017" t="s">
        <v>1592</v>
      </c>
      <c r="C111" s="2017" t="s">
        <v>1593</v>
      </c>
      <c r="D111" s="2017" t="s">
        <v>1729</v>
      </c>
      <c r="E111" s="2017" t="s">
        <v>1751</v>
      </c>
      <c r="F111" s="2017" t="s">
        <v>1818</v>
      </c>
      <c r="G111" s="2018">
        <v>57865578</v>
      </c>
      <c r="H111" s="2024"/>
    </row>
    <row r="112" spans="1:8" ht="15.75" customHeight="1" x14ac:dyDescent="0.25">
      <c r="A112" s="2017" t="s">
        <v>1817</v>
      </c>
      <c r="B112" s="2017" t="s">
        <v>1592</v>
      </c>
      <c r="C112" s="2017" t="s">
        <v>1593</v>
      </c>
      <c r="D112" s="2017" t="s">
        <v>1729</v>
      </c>
      <c r="E112" s="2017" t="s">
        <v>1751</v>
      </c>
      <c r="F112" s="2017" t="s">
        <v>1819</v>
      </c>
      <c r="G112" s="2018">
        <v>5314000</v>
      </c>
      <c r="H112" s="2024"/>
    </row>
    <row r="113" spans="1:8" ht="15.75" customHeight="1" x14ac:dyDescent="0.25">
      <c r="A113" s="2017" t="s">
        <v>1817</v>
      </c>
      <c r="B113" s="2017" t="s">
        <v>1592</v>
      </c>
      <c r="C113" s="2017" t="s">
        <v>1593</v>
      </c>
      <c r="D113" s="2017" t="s">
        <v>1729</v>
      </c>
      <c r="E113" s="2017" t="s">
        <v>1623</v>
      </c>
      <c r="F113" s="2017" t="s">
        <v>1646</v>
      </c>
      <c r="G113" s="2018">
        <v>1031975098</v>
      </c>
      <c r="H113" s="2024"/>
    </row>
    <row r="114" spans="1:8" ht="15.75" customHeight="1" x14ac:dyDescent="0.25">
      <c r="A114" s="2017" t="s">
        <v>1817</v>
      </c>
      <c r="B114" s="2017" t="s">
        <v>1592</v>
      </c>
      <c r="C114" s="2017" t="s">
        <v>1593</v>
      </c>
      <c r="D114" s="2017" t="s">
        <v>1729</v>
      </c>
      <c r="E114" s="2017" t="s">
        <v>1623</v>
      </c>
      <c r="F114" s="2017" t="s">
        <v>1624</v>
      </c>
      <c r="G114" s="2018">
        <v>62699694</v>
      </c>
      <c r="H114" s="2024"/>
    </row>
    <row r="115" spans="1:8" ht="15.75" customHeight="1" x14ac:dyDescent="0.25">
      <c r="A115" s="2017" t="s">
        <v>1817</v>
      </c>
      <c r="B115" s="2017" t="s">
        <v>1592</v>
      </c>
      <c r="C115" s="2017" t="s">
        <v>1593</v>
      </c>
      <c r="D115" s="2017" t="s">
        <v>1729</v>
      </c>
      <c r="E115" s="2017" t="s">
        <v>1623</v>
      </c>
      <c r="F115" s="2017" t="s">
        <v>1639</v>
      </c>
      <c r="G115" s="2018">
        <v>779562000</v>
      </c>
      <c r="H115" s="2024"/>
    </row>
    <row r="116" spans="1:8" ht="15.75" customHeight="1" x14ac:dyDescent="0.25">
      <c r="A116" s="2017" t="s">
        <v>1817</v>
      </c>
      <c r="B116" s="2017" t="s">
        <v>1592</v>
      </c>
      <c r="C116" s="2017" t="s">
        <v>1593</v>
      </c>
      <c r="D116" s="2017" t="s">
        <v>1729</v>
      </c>
      <c r="E116" s="2017" t="s">
        <v>1623</v>
      </c>
      <c r="F116" s="2017" t="s">
        <v>1820</v>
      </c>
      <c r="G116" s="2018">
        <v>29860000</v>
      </c>
      <c r="H116" s="2024"/>
    </row>
    <row r="117" spans="1:8" ht="15.75" customHeight="1" x14ac:dyDescent="0.25">
      <c r="A117" s="2017" t="s">
        <v>1817</v>
      </c>
      <c r="B117" s="2017" t="s">
        <v>1592</v>
      </c>
      <c r="C117" s="2017" t="s">
        <v>1593</v>
      </c>
      <c r="D117" s="2017" t="s">
        <v>1729</v>
      </c>
      <c r="E117" s="2017" t="s">
        <v>1623</v>
      </c>
      <c r="F117" s="2017" t="s">
        <v>1634</v>
      </c>
      <c r="G117" s="2018">
        <v>159853404</v>
      </c>
      <c r="H117" s="2024"/>
    </row>
    <row r="118" spans="1:8" ht="15.75" customHeight="1" x14ac:dyDescent="0.25">
      <c r="A118" s="2017" t="s">
        <v>1817</v>
      </c>
      <c r="B118" s="2017" t="s">
        <v>1592</v>
      </c>
      <c r="C118" s="2017" t="s">
        <v>1593</v>
      </c>
      <c r="D118" s="2017" t="s">
        <v>1729</v>
      </c>
      <c r="E118" s="2017" t="s">
        <v>1652</v>
      </c>
      <c r="F118" s="2017" t="s">
        <v>1646</v>
      </c>
      <c r="G118" s="2018">
        <v>39209374</v>
      </c>
      <c r="H118" s="2024"/>
    </row>
    <row r="119" spans="1:8" ht="15.75" customHeight="1" x14ac:dyDescent="0.25">
      <c r="A119" s="2017" t="s">
        <v>1817</v>
      </c>
      <c r="B119" s="2017" t="s">
        <v>1592</v>
      </c>
      <c r="C119" s="2017" t="s">
        <v>1593</v>
      </c>
      <c r="D119" s="2017" t="s">
        <v>1729</v>
      </c>
      <c r="E119" s="2017" t="s">
        <v>1652</v>
      </c>
      <c r="F119" s="2017" t="s">
        <v>1754</v>
      </c>
      <c r="G119" s="2018">
        <v>7211416</v>
      </c>
      <c r="H119" s="2024"/>
    </row>
    <row r="120" spans="1:8" ht="15.75" customHeight="1" x14ac:dyDescent="0.25">
      <c r="A120" s="2017" t="s">
        <v>1817</v>
      </c>
      <c r="B120" s="2017" t="s">
        <v>1592</v>
      </c>
      <c r="C120" s="2017" t="s">
        <v>1593</v>
      </c>
      <c r="D120" s="2017" t="s">
        <v>1729</v>
      </c>
      <c r="E120" s="2017" t="s">
        <v>1652</v>
      </c>
      <c r="F120" s="2017" t="s">
        <v>1755</v>
      </c>
      <c r="G120" s="2018">
        <v>25259318</v>
      </c>
      <c r="H120" s="2024"/>
    </row>
    <row r="121" spans="1:8" ht="15.75" customHeight="1" x14ac:dyDescent="0.25">
      <c r="A121" s="2017" t="s">
        <v>1817</v>
      </c>
      <c r="B121" s="2017" t="s">
        <v>1592</v>
      </c>
      <c r="C121" s="2017" t="s">
        <v>1593</v>
      </c>
      <c r="D121" s="2017" t="s">
        <v>1729</v>
      </c>
      <c r="E121" s="2017" t="s">
        <v>1652</v>
      </c>
      <c r="F121" s="2017" t="s">
        <v>1653</v>
      </c>
      <c r="G121" s="2018">
        <v>450000</v>
      </c>
      <c r="H121" s="2024"/>
    </row>
    <row r="122" spans="1:8" ht="15.75" customHeight="1" x14ac:dyDescent="0.25">
      <c r="A122" s="2017" t="s">
        <v>1817</v>
      </c>
      <c r="B122" s="2017" t="s">
        <v>1592</v>
      </c>
      <c r="C122" s="2017" t="s">
        <v>1593</v>
      </c>
      <c r="D122" s="2017" t="s">
        <v>1729</v>
      </c>
      <c r="E122" s="2017" t="s">
        <v>1652</v>
      </c>
      <c r="F122" s="2017" t="s">
        <v>1800</v>
      </c>
      <c r="G122" s="2018">
        <v>6288640</v>
      </c>
      <c r="H122" s="2024"/>
    </row>
    <row r="123" spans="1:8" ht="15.75" customHeight="1" x14ac:dyDescent="0.25">
      <c r="A123" s="2017" t="s">
        <v>1817</v>
      </c>
      <c r="B123" s="2017" t="s">
        <v>1592</v>
      </c>
      <c r="C123" s="2017" t="s">
        <v>1593</v>
      </c>
      <c r="D123" s="2017" t="s">
        <v>1729</v>
      </c>
      <c r="E123" s="2017" t="s">
        <v>1609</v>
      </c>
      <c r="F123" s="2017" t="s">
        <v>1646</v>
      </c>
      <c r="G123" s="2018">
        <v>65613116</v>
      </c>
      <c r="H123" s="2024"/>
    </row>
    <row r="124" spans="1:8" ht="15.75" customHeight="1" x14ac:dyDescent="0.25">
      <c r="A124" s="2017" t="s">
        <v>1817</v>
      </c>
      <c r="B124" s="2017" t="s">
        <v>1592</v>
      </c>
      <c r="C124" s="2017" t="s">
        <v>1593</v>
      </c>
      <c r="D124" s="2017" t="s">
        <v>1729</v>
      </c>
      <c r="E124" s="2017" t="s">
        <v>1609</v>
      </c>
      <c r="F124" s="2017" t="s">
        <v>1610</v>
      </c>
      <c r="G124" s="2018">
        <v>20786000</v>
      </c>
      <c r="H124" s="2024"/>
    </row>
    <row r="125" spans="1:8" ht="15.75" customHeight="1" x14ac:dyDescent="0.25">
      <c r="A125" s="2017" t="s">
        <v>1817</v>
      </c>
      <c r="B125" s="2017" t="s">
        <v>1592</v>
      </c>
      <c r="C125" s="2017" t="s">
        <v>1593</v>
      </c>
      <c r="D125" s="2017" t="s">
        <v>1729</v>
      </c>
      <c r="E125" s="2017" t="s">
        <v>1609</v>
      </c>
      <c r="F125" s="2017" t="s">
        <v>1611</v>
      </c>
      <c r="G125" s="2018">
        <v>14700000</v>
      </c>
      <c r="H125" s="2024"/>
    </row>
    <row r="126" spans="1:8" ht="15.75" customHeight="1" x14ac:dyDescent="0.25">
      <c r="A126" s="2017" t="s">
        <v>1817</v>
      </c>
      <c r="B126" s="2017" t="s">
        <v>1592</v>
      </c>
      <c r="C126" s="2017" t="s">
        <v>1593</v>
      </c>
      <c r="D126" s="2017" t="s">
        <v>1729</v>
      </c>
      <c r="E126" s="2017" t="s">
        <v>1609</v>
      </c>
      <c r="F126" s="2017" t="s">
        <v>1612</v>
      </c>
      <c r="G126" s="2018">
        <v>30127116</v>
      </c>
      <c r="H126" s="2024"/>
    </row>
    <row r="127" spans="1:8" ht="15.75" customHeight="1" x14ac:dyDescent="0.25">
      <c r="A127" s="2017" t="s">
        <v>1817</v>
      </c>
      <c r="B127" s="2017" t="s">
        <v>1592</v>
      </c>
      <c r="C127" s="2017" t="s">
        <v>1593</v>
      </c>
      <c r="D127" s="2017" t="s">
        <v>1729</v>
      </c>
      <c r="E127" s="2017" t="s">
        <v>1660</v>
      </c>
      <c r="F127" s="2017" t="s">
        <v>1646</v>
      </c>
      <c r="G127" s="2018">
        <v>79028000</v>
      </c>
      <c r="H127" s="2024"/>
    </row>
    <row r="128" spans="1:8" ht="15.75" customHeight="1" x14ac:dyDescent="0.25">
      <c r="A128" s="2017" t="s">
        <v>1817</v>
      </c>
      <c r="B128" s="2017" t="s">
        <v>1592</v>
      </c>
      <c r="C128" s="2017" t="s">
        <v>1593</v>
      </c>
      <c r="D128" s="2017" t="s">
        <v>1729</v>
      </c>
      <c r="E128" s="2017" t="s">
        <v>1660</v>
      </c>
      <c r="F128" s="2017" t="s">
        <v>1756</v>
      </c>
      <c r="G128" s="2018">
        <v>6928000</v>
      </c>
      <c r="H128" s="2024"/>
    </row>
    <row r="129" spans="1:8" ht="15.75" customHeight="1" x14ac:dyDescent="0.25">
      <c r="A129" s="2017" t="s">
        <v>1817</v>
      </c>
      <c r="B129" s="2017" t="s">
        <v>1592</v>
      </c>
      <c r="C129" s="2017" t="s">
        <v>1593</v>
      </c>
      <c r="D129" s="2017" t="s">
        <v>1729</v>
      </c>
      <c r="E129" s="2017" t="s">
        <v>1660</v>
      </c>
      <c r="F129" s="2017" t="s">
        <v>1661</v>
      </c>
      <c r="G129" s="2018">
        <v>15600000</v>
      </c>
      <c r="H129" s="2024"/>
    </row>
    <row r="130" spans="1:8" ht="15.75" customHeight="1" x14ac:dyDescent="0.25">
      <c r="A130" s="2017" t="s">
        <v>1817</v>
      </c>
      <c r="B130" s="2017" t="s">
        <v>1592</v>
      </c>
      <c r="C130" s="2017" t="s">
        <v>1593</v>
      </c>
      <c r="D130" s="2017" t="s">
        <v>1729</v>
      </c>
      <c r="E130" s="2017" t="s">
        <v>1660</v>
      </c>
      <c r="F130" s="2017" t="s">
        <v>1662</v>
      </c>
      <c r="G130" s="2018">
        <v>12800000</v>
      </c>
      <c r="H130" s="2024"/>
    </row>
    <row r="131" spans="1:8" ht="15.75" customHeight="1" x14ac:dyDescent="0.25">
      <c r="A131" s="2017" t="s">
        <v>1817</v>
      </c>
      <c r="B131" s="2017" t="s">
        <v>1592</v>
      </c>
      <c r="C131" s="2017" t="s">
        <v>1593</v>
      </c>
      <c r="D131" s="2017" t="s">
        <v>1729</v>
      </c>
      <c r="E131" s="2017" t="s">
        <v>1660</v>
      </c>
      <c r="F131" s="2017" t="s">
        <v>1768</v>
      </c>
      <c r="G131" s="2018">
        <v>43700000</v>
      </c>
      <c r="H131" s="2024"/>
    </row>
    <row r="132" spans="1:8" ht="15.75" customHeight="1" x14ac:dyDescent="0.25">
      <c r="A132" s="2017" t="s">
        <v>1817</v>
      </c>
      <c r="B132" s="2017" t="s">
        <v>1592</v>
      </c>
      <c r="C132" s="2017" t="s">
        <v>1593</v>
      </c>
      <c r="D132" s="2017" t="s">
        <v>1729</v>
      </c>
      <c r="E132" s="2017" t="s">
        <v>1654</v>
      </c>
      <c r="F132" s="2017" t="s">
        <v>1646</v>
      </c>
      <c r="G132" s="2018">
        <v>658479700</v>
      </c>
      <c r="H132" s="2024"/>
    </row>
    <row r="133" spans="1:8" ht="15.75" customHeight="1" x14ac:dyDescent="0.25">
      <c r="A133" s="2017" t="s">
        <v>1817</v>
      </c>
      <c r="B133" s="2017" t="s">
        <v>1592</v>
      </c>
      <c r="C133" s="2017" t="s">
        <v>1593</v>
      </c>
      <c r="D133" s="2017" t="s">
        <v>1729</v>
      </c>
      <c r="E133" s="2017" t="s">
        <v>1654</v>
      </c>
      <c r="F133" s="2017" t="s">
        <v>1757</v>
      </c>
      <c r="G133" s="2018">
        <v>315124700</v>
      </c>
      <c r="H133" s="2024"/>
    </row>
    <row r="134" spans="1:8" ht="15.75" customHeight="1" x14ac:dyDescent="0.25">
      <c r="A134" s="2017" t="s">
        <v>1817</v>
      </c>
      <c r="B134" s="2017" t="s">
        <v>1592</v>
      </c>
      <c r="C134" s="2017" t="s">
        <v>1593</v>
      </c>
      <c r="D134" s="2017" t="s">
        <v>1729</v>
      </c>
      <c r="E134" s="2017" t="s">
        <v>1654</v>
      </c>
      <c r="F134" s="2017" t="s">
        <v>1655</v>
      </c>
      <c r="G134" s="2018">
        <v>343355000</v>
      </c>
      <c r="H134" s="2024"/>
    </row>
    <row r="135" spans="1:8" ht="15.75" customHeight="1" x14ac:dyDescent="0.25">
      <c r="A135" s="2017" t="s">
        <v>1817</v>
      </c>
      <c r="B135" s="2017" t="s">
        <v>1592</v>
      </c>
      <c r="C135" s="2017" t="s">
        <v>1593</v>
      </c>
      <c r="D135" s="2017" t="s">
        <v>1729</v>
      </c>
      <c r="E135" s="2017" t="s">
        <v>1602</v>
      </c>
      <c r="F135" s="2017" t="s">
        <v>1646</v>
      </c>
      <c r="G135" s="2018">
        <v>245846060</v>
      </c>
      <c r="H135" s="2024"/>
    </row>
    <row r="136" spans="1:8" ht="15.75" customHeight="1" x14ac:dyDescent="0.25">
      <c r="A136" s="2017" t="s">
        <v>1817</v>
      </c>
      <c r="B136" s="2017" t="s">
        <v>1592</v>
      </c>
      <c r="C136" s="2017" t="s">
        <v>1593</v>
      </c>
      <c r="D136" s="2017" t="s">
        <v>1729</v>
      </c>
      <c r="E136" s="2017" t="s">
        <v>1602</v>
      </c>
      <c r="F136" s="2017" t="s">
        <v>1758</v>
      </c>
      <c r="G136" s="2018">
        <v>39725200</v>
      </c>
      <c r="H136" s="2024"/>
    </row>
    <row r="137" spans="1:8" ht="15.75" customHeight="1" x14ac:dyDescent="0.25">
      <c r="A137" s="2017" t="s">
        <v>1817</v>
      </c>
      <c r="B137" s="2017" t="s">
        <v>1592</v>
      </c>
      <c r="C137" s="2017" t="s">
        <v>1593</v>
      </c>
      <c r="D137" s="2017" t="s">
        <v>1729</v>
      </c>
      <c r="E137" s="2017" t="s">
        <v>1602</v>
      </c>
      <c r="F137" s="2017" t="s">
        <v>1680</v>
      </c>
      <c r="G137" s="2018">
        <v>99620000</v>
      </c>
      <c r="H137" s="2024"/>
    </row>
    <row r="138" spans="1:8" ht="15.75" customHeight="1" x14ac:dyDescent="0.25">
      <c r="A138" s="2017" t="s">
        <v>1817</v>
      </c>
      <c r="B138" s="2017" t="s">
        <v>1592</v>
      </c>
      <c r="C138" s="2017" t="s">
        <v>1593</v>
      </c>
      <c r="D138" s="2017" t="s">
        <v>1729</v>
      </c>
      <c r="E138" s="2017" t="s">
        <v>1602</v>
      </c>
      <c r="F138" s="2017" t="s">
        <v>1759</v>
      </c>
      <c r="G138" s="2018">
        <v>13450000</v>
      </c>
      <c r="H138" s="2024"/>
    </row>
    <row r="139" spans="1:8" ht="15.75" customHeight="1" x14ac:dyDescent="0.25">
      <c r="A139" s="2017" t="s">
        <v>1817</v>
      </c>
      <c r="B139" s="2017" t="s">
        <v>1592</v>
      </c>
      <c r="C139" s="2017" t="s">
        <v>1593</v>
      </c>
      <c r="D139" s="2017" t="s">
        <v>1729</v>
      </c>
      <c r="E139" s="2017" t="s">
        <v>1602</v>
      </c>
      <c r="F139" s="2017" t="s">
        <v>1760</v>
      </c>
      <c r="G139" s="2018">
        <v>77599240</v>
      </c>
      <c r="H139" s="2024"/>
    </row>
    <row r="140" spans="1:8" ht="15.75" customHeight="1" x14ac:dyDescent="0.25">
      <c r="A140" s="2017" t="s">
        <v>1817</v>
      </c>
      <c r="B140" s="2017" t="s">
        <v>1592</v>
      </c>
      <c r="C140" s="2017" t="s">
        <v>1593</v>
      </c>
      <c r="D140" s="2017" t="s">
        <v>1729</v>
      </c>
      <c r="E140" s="2017" t="s">
        <v>1602</v>
      </c>
      <c r="F140" s="2017" t="s">
        <v>1761</v>
      </c>
      <c r="G140" s="2018">
        <v>15451620</v>
      </c>
      <c r="H140" s="2024"/>
    </row>
    <row r="141" spans="1:8" ht="15.75" customHeight="1" x14ac:dyDescent="0.25">
      <c r="A141" s="2017" t="s">
        <v>1817</v>
      </c>
      <c r="B141" s="2017" t="s">
        <v>1592</v>
      </c>
      <c r="C141" s="2017" t="s">
        <v>1593</v>
      </c>
      <c r="D141" s="2017" t="s">
        <v>1729</v>
      </c>
      <c r="E141" s="2017" t="s">
        <v>1630</v>
      </c>
      <c r="F141" s="2017" t="s">
        <v>1646</v>
      </c>
      <c r="G141" s="2018">
        <v>6550950000</v>
      </c>
      <c r="H141" s="2024"/>
    </row>
    <row r="142" spans="1:8" ht="15.75" customHeight="1" x14ac:dyDescent="0.25">
      <c r="A142" s="2017" t="s">
        <v>1817</v>
      </c>
      <c r="B142" s="2017" t="s">
        <v>1592</v>
      </c>
      <c r="C142" s="2017" t="s">
        <v>1593</v>
      </c>
      <c r="D142" s="2017" t="s">
        <v>1729</v>
      </c>
      <c r="E142" s="2017" t="s">
        <v>1630</v>
      </c>
      <c r="F142" s="2017" t="s">
        <v>1769</v>
      </c>
      <c r="G142" s="2018">
        <v>397750000</v>
      </c>
      <c r="H142" s="2024"/>
    </row>
    <row r="143" spans="1:8" ht="15.75" customHeight="1" x14ac:dyDescent="0.25">
      <c r="A143" s="2017" t="s">
        <v>1817</v>
      </c>
      <c r="B143" s="2017" t="s">
        <v>1592</v>
      </c>
      <c r="C143" s="2017" t="s">
        <v>1593</v>
      </c>
      <c r="D143" s="2017" t="s">
        <v>1729</v>
      </c>
      <c r="E143" s="2017" t="s">
        <v>1630</v>
      </c>
      <c r="F143" s="2017" t="s">
        <v>1631</v>
      </c>
      <c r="G143" s="2018">
        <v>14600000</v>
      </c>
      <c r="H143" s="2024"/>
    </row>
    <row r="144" spans="1:8" ht="15.75" customHeight="1" x14ac:dyDescent="0.25">
      <c r="A144" s="2017" t="s">
        <v>1817</v>
      </c>
      <c r="B144" s="2017" t="s">
        <v>1592</v>
      </c>
      <c r="C144" s="2017" t="s">
        <v>1593</v>
      </c>
      <c r="D144" s="2017" t="s">
        <v>1729</v>
      </c>
      <c r="E144" s="2017" t="s">
        <v>1630</v>
      </c>
      <c r="F144" s="2017" t="s">
        <v>1640</v>
      </c>
      <c r="G144" s="2018">
        <v>6138600000</v>
      </c>
      <c r="H144" s="2024"/>
    </row>
    <row r="145" spans="1:8" ht="15.75" customHeight="1" x14ac:dyDescent="0.25">
      <c r="A145" s="2017" t="s">
        <v>1817</v>
      </c>
      <c r="B145" s="2017" t="s">
        <v>1592</v>
      </c>
      <c r="C145" s="2017" t="s">
        <v>1593</v>
      </c>
      <c r="D145" s="2017" t="s">
        <v>1729</v>
      </c>
      <c r="E145" s="2017" t="s">
        <v>1618</v>
      </c>
      <c r="F145" s="2017" t="s">
        <v>1646</v>
      </c>
      <c r="G145" s="2018">
        <v>1838260813</v>
      </c>
      <c r="H145" s="2024"/>
    </row>
    <row r="146" spans="1:8" ht="15.75" customHeight="1" x14ac:dyDescent="0.25">
      <c r="A146" s="2017" t="s">
        <v>1817</v>
      </c>
      <c r="B146" s="2017" t="s">
        <v>1592</v>
      </c>
      <c r="C146" s="2017" t="s">
        <v>1593</v>
      </c>
      <c r="D146" s="2017" t="s">
        <v>1729</v>
      </c>
      <c r="E146" s="2017" t="s">
        <v>1618</v>
      </c>
      <c r="F146" s="2017" t="s">
        <v>1619</v>
      </c>
      <c r="G146" s="2018">
        <v>1156119629</v>
      </c>
      <c r="H146" s="2024"/>
    </row>
    <row r="147" spans="1:8" ht="15.75" customHeight="1" x14ac:dyDescent="0.25">
      <c r="A147" s="2017" t="s">
        <v>1817</v>
      </c>
      <c r="B147" s="2017" t="s">
        <v>1592</v>
      </c>
      <c r="C147" s="2017" t="s">
        <v>1593</v>
      </c>
      <c r="D147" s="2017" t="s">
        <v>1729</v>
      </c>
      <c r="E147" s="2017" t="s">
        <v>1618</v>
      </c>
      <c r="F147" s="2017" t="s">
        <v>1716</v>
      </c>
      <c r="G147" s="2018">
        <v>2010000</v>
      </c>
      <c r="H147" s="2024"/>
    </row>
    <row r="148" spans="1:8" ht="15.75" customHeight="1" x14ac:dyDescent="0.25">
      <c r="A148" s="2017" t="s">
        <v>1817</v>
      </c>
      <c r="B148" s="2017" t="s">
        <v>1592</v>
      </c>
      <c r="C148" s="2017" t="s">
        <v>1593</v>
      </c>
      <c r="D148" s="2017" t="s">
        <v>1729</v>
      </c>
      <c r="E148" s="2017" t="s">
        <v>1618</v>
      </c>
      <c r="F148" s="2017" t="s">
        <v>1622</v>
      </c>
      <c r="G148" s="2018">
        <v>680131184</v>
      </c>
      <c r="H148" s="2024"/>
    </row>
    <row r="149" spans="1:8" ht="15.75" customHeight="1" x14ac:dyDescent="0.25">
      <c r="A149" s="2017" t="s">
        <v>1817</v>
      </c>
      <c r="B149" s="2017" t="s">
        <v>1592</v>
      </c>
      <c r="C149" s="2017" t="s">
        <v>1593</v>
      </c>
      <c r="D149" s="2017" t="s">
        <v>1729</v>
      </c>
      <c r="E149" s="2017" t="s">
        <v>1615</v>
      </c>
      <c r="F149" s="2017" t="s">
        <v>1646</v>
      </c>
      <c r="G149" s="2018">
        <v>1589411540</v>
      </c>
      <c r="H149" s="2024"/>
    </row>
    <row r="150" spans="1:8" ht="15.75" customHeight="1" x14ac:dyDescent="0.25">
      <c r="A150" s="2017" t="s">
        <v>1817</v>
      </c>
      <c r="B150" s="2017" t="s">
        <v>1592</v>
      </c>
      <c r="C150" s="2017" t="s">
        <v>1593</v>
      </c>
      <c r="D150" s="2017" t="s">
        <v>1729</v>
      </c>
      <c r="E150" s="2017" t="s">
        <v>1615</v>
      </c>
      <c r="F150" s="2017" t="s">
        <v>1635</v>
      </c>
      <c r="G150" s="2018">
        <v>6506000</v>
      </c>
      <c r="H150" s="2024"/>
    </row>
    <row r="151" spans="1:8" ht="15.75" customHeight="1" x14ac:dyDescent="0.25">
      <c r="A151" s="2017" t="s">
        <v>1817</v>
      </c>
      <c r="B151" s="2017" t="s">
        <v>1592</v>
      </c>
      <c r="C151" s="2017" t="s">
        <v>1593</v>
      </c>
      <c r="D151" s="2017" t="s">
        <v>1729</v>
      </c>
      <c r="E151" s="2017" t="s">
        <v>1615</v>
      </c>
      <c r="F151" s="2017" t="s">
        <v>1794</v>
      </c>
      <c r="G151" s="2018">
        <v>2065800</v>
      </c>
      <c r="H151" s="2024"/>
    </row>
    <row r="152" spans="1:8" ht="15.75" customHeight="1" x14ac:dyDescent="0.25">
      <c r="A152" s="2017" t="s">
        <v>1817</v>
      </c>
      <c r="B152" s="2017" t="s">
        <v>1592</v>
      </c>
      <c r="C152" s="2017" t="s">
        <v>1593</v>
      </c>
      <c r="D152" s="2017" t="s">
        <v>1729</v>
      </c>
      <c r="E152" s="2017" t="s">
        <v>1615</v>
      </c>
      <c r="F152" s="2017" t="s">
        <v>1764</v>
      </c>
      <c r="G152" s="2018">
        <v>1017239300</v>
      </c>
      <c r="H152" s="2024"/>
    </row>
    <row r="153" spans="1:8" ht="15.75" customHeight="1" x14ac:dyDescent="0.25">
      <c r="A153" s="2017" t="s">
        <v>1817</v>
      </c>
      <c r="B153" s="2017" t="s">
        <v>1592</v>
      </c>
      <c r="C153" s="2017" t="s">
        <v>1593</v>
      </c>
      <c r="D153" s="2017" t="s">
        <v>1729</v>
      </c>
      <c r="E153" s="2017" t="s">
        <v>1615</v>
      </c>
      <c r="F153" s="2017" t="s">
        <v>1616</v>
      </c>
      <c r="G153" s="2018">
        <v>563600440</v>
      </c>
      <c r="H153" s="2024"/>
    </row>
    <row r="154" spans="1:8" ht="15.75" customHeight="1" x14ac:dyDescent="0.25">
      <c r="A154" s="2017" t="s">
        <v>1817</v>
      </c>
      <c r="B154" s="2017" t="s">
        <v>1592</v>
      </c>
      <c r="C154" s="2017" t="s">
        <v>1593</v>
      </c>
      <c r="D154" s="2017" t="s">
        <v>1765</v>
      </c>
      <c r="E154" s="2017" t="s">
        <v>1646</v>
      </c>
      <c r="F154" s="2017" t="s">
        <v>1646</v>
      </c>
      <c r="G154" s="2018">
        <v>39329017808</v>
      </c>
      <c r="H154" s="2024"/>
    </row>
    <row r="155" spans="1:8" ht="15.75" customHeight="1" x14ac:dyDescent="0.25">
      <c r="A155" s="2017" t="s">
        <v>1817</v>
      </c>
      <c r="B155" s="2017" t="s">
        <v>1592</v>
      </c>
      <c r="C155" s="2017" t="s">
        <v>1593</v>
      </c>
      <c r="D155" s="2017" t="s">
        <v>1765</v>
      </c>
      <c r="E155" s="2017" t="s">
        <v>1730</v>
      </c>
      <c r="F155" s="2017" t="s">
        <v>1646</v>
      </c>
      <c r="G155" s="2018">
        <v>12861639545</v>
      </c>
      <c r="H155" s="2024"/>
    </row>
    <row r="156" spans="1:8" ht="15.75" customHeight="1" x14ac:dyDescent="0.25">
      <c r="A156" s="2017" t="s">
        <v>1817</v>
      </c>
      <c r="B156" s="2017" t="s">
        <v>1592</v>
      </c>
      <c r="C156" s="2017" t="s">
        <v>1593</v>
      </c>
      <c r="D156" s="2017" t="s">
        <v>1765</v>
      </c>
      <c r="E156" s="2017" t="s">
        <v>1730</v>
      </c>
      <c r="F156" s="2017" t="s">
        <v>1731</v>
      </c>
      <c r="G156" s="2018">
        <v>12861639545</v>
      </c>
      <c r="H156" s="2024"/>
    </row>
    <row r="157" spans="1:8" ht="15.75" customHeight="1" x14ac:dyDescent="0.25">
      <c r="A157" s="2017" t="s">
        <v>1817</v>
      </c>
      <c r="B157" s="2017" t="s">
        <v>1592</v>
      </c>
      <c r="C157" s="2017" t="s">
        <v>1593</v>
      </c>
      <c r="D157" s="2017" t="s">
        <v>1765</v>
      </c>
      <c r="E157" s="2017" t="s">
        <v>1732</v>
      </c>
      <c r="F157" s="2017" t="s">
        <v>1646</v>
      </c>
      <c r="G157" s="2018">
        <v>99470000</v>
      </c>
      <c r="H157" s="2024"/>
    </row>
    <row r="158" spans="1:8" ht="15.75" customHeight="1" x14ac:dyDescent="0.25">
      <c r="A158" s="2017" t="s">
        <v>1817</v>
      </c>
      <c r="B158" s="2017" t="s">
        <v>1592</v>
      </c>
      <c r="C158" s="2017" t="s">
        <v>1593</v>
      </c>
      <c r="D158" s="2017" t="s">
        <v>1765</v>
      </c>
      <c r="E158" s="2017" t="s">
        <v>1732</v>
      </c>
      <c r="F158" s="2017" t="s">
        <v>1733</v>
      </c>
      <c r="G158" s="2018">
        <v>99470000</v>
      </c>
      <c r="H158" s="2024"/>
    </row>
    <row r="159" spans="1:8" ht="15.75" customHeight="1" x14ac:dyDescent="0.25">
      <c r="A159" s="2017" t="s">
        <v>1817</v>
      </c>
      <c r="B159" s="2017" t="s">
        <v>1592</v>
      </c>
      <c r="C159" s="2017" t="s">
        <v>1593</v>
      </c>
      <c r="D159" s="2017" t="s">
        <v>1765</v>
      </c>
      <c r="E159" s="2017" t="s">
        <v>1607</v>
      </c>
      <c r="F159" s="2017" t="s">
        <v>1646</v>
      </c>
      <c r="G159" s="2018">
        <v>10946473333</v>
      </c>
      <c r="H159" s="2024"/>
    </row>
    <row r="160" spans="1:8" ht="15.75" customHeight="1" x14ac:dyDescent="0.25">
      <c r="A160" s="2017" t="s">
        <v>1817</v>
      </c>
      <c r="B160" s="2017" t="s">
        <v>1592</v>
      </c>
      <c r="C160" s="2017" t="s">
        <v>1593</v>
      </c>
      <c r="D160" s="2017" t="s">
        <v>1765</v>
      </c>
      <c r="E160" s="2017" t="s">
        <v>1607</v>
      </c>
      <c r="F160" s="2017" t="s">
        <v>1734</v>
      </c>
      <c r="G160" s="2018">
        <v>169957710</v>
      </c>
      <c r="H160" s="2024"/>
    </row>
    <row r="161" spans="1:8" ht="15.75" customHeight="1" x14ac:dyDescent="0.25">
      <c r="A161" s="2017" t="s">
        <v>1817</v>
      </c>
      <c r="B161" s="2017" t="s">
        <v>1592</v>
      </c>
      <c r="C161" s="2017" t="s">
        <v>1593</v>
      </c>
      <c r="D161" s="2017" t="s">
        <v>1765</v>
      </c>
      <c r="E161" s="2017" t="s">
        <v>1607</v>
      </c>
      <c r="F161" s="2017" t="s">
        <v>1735</v>
      </c>
      <c r="G161" s="2018">
        <v>960976520</v>
      </c>
      <c r="H161" s="2024"/>
    </row>
    <row r="162" spans="1:8" ht="15.75" customHeight="1" x14ac:dyDescent="0.25">
      <c r="A162" s="2017" t="s">
        <v>1817</v>
      </c>
      <c r="B162" s="2017" t="s">
        <v>1592</v>
      </c>
      <c r="C162" s="2017" t="s">
        <v>1593</v>
      </c>
      <c r="D162" s="2017" t="s">
        <v>1765</v>
      </c>
      <c r="E162" s="2017" t="s">
        <v>1607</v>
      </c>
      <c r="F162" s="2017" t="s">
        <v>1608</v>
      </c>
      <c r="G162" s="2018">
        <v>97303998</v>
      </c>
      <c r="H162" s="2024"/>
    </row>
    <row r="163" spans="1:8" ht="15.75" customHeight="1" x14ac:dyDescent="0.25">
      <c r="A163" s="2017" t="s">
        <v>1817</v>
      </c>
      <c r="B163" s="2017" t="s">
        <v>1592</v>
      </c>
      <c r="C163" s="2017" t="s">
        <v>1593</v>
      </c>
      <c r="D163" s="2017" t="s">
        <v>1765</v>
      </c>
      <c r="E163" s="2017" t="s">
        <v>1607</v>
      </c>
      <c r="F163" s="2017" t="s">
        <v>1766</v>
      </c>
      <c r="G163" s="2018">
        <v>11232000</v>
      </c>
      <c r="H163" s="2024"/>
    </row>
    <row r="164" spans="1:8" ht="15.75" customHeight="1" x14ac:dyDescent="0.25">
      <c r="A164" s="2017" t="s">
        <v>1817</v>
      </c>
      <c r="B164" s="2017" t="s">
        <v>1592</v>
      </c>
      <c r="C164" s="2017" t="s">
        <v>1593</v>
      </c>
      <c r="D164" s="2017" t="s">
        <v>1765</v>
      </c>
      <c r="E164" s="2017" t="s">
        <v>1607</v>
      </c>
      <c r="F164" s="2017" t="s">
        <v>1736</v>
      </c>
      <c r="G164" s="2018">
        <v>7085415842</v>
      </c>
      <c r="H164" s="2024"/>
    </row>
    <row r="165" spans="1:8" ht="15.75" customHeight="1" x14ac:dyDescent="0.25">
      <c r="A165" s="2017" t="s">
        <v>1817</v>
      </c>
      <c r="B165" s="2017" t="s">
        <v>1592</v>
      </c>
      <c r="C165" s="2017" t="s">
        <v>1593</v>
      </c>
      <c r="D165" s="2017" t="s">
        <v>1765</v>
      </c>
      <c r="E165" s="2017" t="s">
        <v>1607</v>
      </c>
      <c r="F165" s="2017" t="s">
        <v>1737</v>
      </c>
      <c r="G165" s="2018">
        <v>28080000</v>
      </c>
      <c r="H165" s="2024"/>
    </row>
    <row r="166" spans="1:8" ht="15.75" customHeight="1" x14ac:dyDescent="0.25">
      <c r="A166" s="2017" t="s">
        <v>1817</v>
      </c>
      <c r="B166" s="2017" t="s">
        <v>1592</v>
      </c>
      <c r="C166" s="2017" t="s">
        <v>1593</v>
      </c>
      <c r="D166" s="2017" t="s">
        <v>1765</v>
      </c>
      <c r="E166" s="2017" t="s">
        <v>1607</v>
      </c>
      <c r="F166" s="2017" t="s">
        <v>1726</v>
      </c>
      <c r="G166" s="2018">
        <v>2593507263</v>
      </c>
      <c r="H166" s="2024"/>
    </row>
    <row r="167" spans="1:8" ht="15.75" customHeight="1" x14ac:dyDescent="0.25">
      <c r="A167" s="2017" t="s">
        <v>1817</v>
      </c>
      <c r="B167" s="2017" t="s">
        <v>1592</v>
      </c>
      <c r="C167" s="2017" t="s">
        <v>1593</v>
      </c>
      <c r="D167" s="2017" t="s">
        <v>1765</v>
      </c>
      <c r="E167" s="2017" t="s">
        <v>1692</v>
      </c>
      <c r="F167" s="2017" t="s">
        <v>1646</v>
      </c>
      <c r="G167" s="2018">
        <v>274049636</v>
      </c>
      <c r="H167" s="2024"/>
    </row>
    <row r="168" spans="1:8" ht="15.75" customHeight="1" x14ac:dyDescent="0.25">
      <c r="A168" s="2017" t="s">
        <v>1817</v>
      </c>
      <c r="B168" s="2017" t="s">
        <v>1592</v>
      </c>
      <c r="C168" s="2017" t="s">
        <v>1593</v>
      </c>
      <c r="D168" s="2017" t="s">
        <v>1765</v>
      </c>
      <c r="E168" s="2017" t="s">
        <v>1692</v>
      </c>
      <c r="F168" s="2017" t="s">
        <v>1739</v>
      </c>
      <c r="G168" s="2018">
        <v>58032000</v>
      </c>
      <c r="H168" s="2024"/>
    </row>
    <row r="169" spans="1:8" ht="15.75" customHeight="1" x14ac:dyDescent="0.25">
      <c r="A169" s="2017" t="s">
        <v>1817</v>
      </c>
      <c r="B169" s="2017" t="s">
        <v>1592</v>
      </c>
      <c r="C169" s="2017" t="s">
        <v>1593</v>
      </c>
      <c r="D169" s="2017" t="s">
        <v>1765</v>
      </c>
      <c r="E169" s="2017" t="s">
        <v>1692</v>
      </c>
      <c r="F169" s="2017" t="s">
        <v>1740</v>
      </c>
      <c r="G169" s="2018">
        <v>89025000</v>
      </c>
      <c r="H169" s="2024"/>
    </row>
    <row r="170" spans="1:8" ht="15.75" customHeight="1" x14ac:dyDescent="0.25">
      <c r="A170" s="2017" t="s">
        <v>1817</v>
      </c>
      <c r="B170" s="2017" t="s">
        <v>1592</v>
      </c>
      <c r="C170" s="2017" t="s">
        <v>1593</v>
      </c>
      <c r="D170" s="2017" t="s">
        <v>1765</v>
      </c>
      <c r="E170" s="2017" t="s">
        <v>1692</v>
      </c>
      <c r="F170" s="2017" t="s">
        <v>1693</v>
      </c>
      <c r="G170" s="2018">
        <v>126992636</v>
      </c>
      <c r="H170" s="2024"/>
    </row>
    <row r="171" spans="1:8" ht="15.75" customHeight="1" x14ac:dyDescent="0.25">
      <c r="A171" s="2017" t="s">
        <v>1817</v>
      </c>
      <c r="B171" s="2017" t="s">
        <v>1592</v>
      </c>
      <c r="C171" s="2017" t="s">
        <v>1593</v>
      </c>
      <c r="D171" s="2017" t="s">
        <v>1765</v>
      </c>
      <c r="E171" s="2017" t="s">
        <v>1741</v>
      </c>
      <c r="F171" s="2017" t="s">
        <v>1646</v>
      </c>
      <c r="G171" s="2018">
        <v>1292639977</v>
      </c>
      <c r="H171" s="2024"/>
    </row>
    <row r="172" spans="1:8" ht="15.75" customHeight="1" x14ac:dyDescent="0.25">
      <c r="A172" s="2017" t="s">
        <v>1817</v>
      </c>
      <c r="B172" s="2017" t="s">
        <v>1592</v>
      </c>
      <c r="C172" s="2017" t="s">
        <v>1593</v>
      </c>
      <c r="D172" s="2017" t="s">
        <v>1765</v>
      </c>
      <c r="E172" s="2017" t="s">
        <v>1741</v>
      </c>
      <c r="F172" s="2017" t="s">
        <v>1742</v>
      </c>
      <c r="G172" s="2018">
        <v>1256999977</v>
      </c>
      <c r="H172" s="2024"/>
    </row>
    <row r="173" spans="1:8" ht="15.75" customHeight="1" x14ac:dyDescent="0.25">
      <c r="A173" s="2017" t="s">
        <v>1817</v>
      </c>
      <c r="B173" s="2017" t="s">
        <v>1592</v>
      </c>
      <c r="C173" s="2017" t="s">
        <v>1593</v>
      </c>
      <c r="D173" s="2017" t="s">
        <v>1765</v>
      </c>
      <c r="E173" s="2017" t="s">
        <v>1741</v>
      </c>
      <c r="F173" s="2017" t="s">
        <v>1783</v>
      </c>
      <c r="G173" s="2018">
        <v>35640000</v>
      </c>
      <c r="H173" s="2024"/>
    </row>
    <row r="174" spans="1:8" ht="15.75" customHeight="1" x14ac:dyDescent="0.25">
      <c r="A174" s="2017" t="s">
        <v>1817</v>
      </c>
      <c r="B174" s="2017" t="s">
        <v>1592</v>
      </c>
      <c r="C174" s="2017" t="s">
        <v>1593</v>
      </c>
      <c r="D174" s="2017" t="s">
        <v>1765</v>
      </c>
      <c r="E174" s="2017" t="s">
        <v>1784</v>
      </c>
      <c r="F174" s="2017" t="s">
        <v>1646</v>
      </c>
      <c r="G174" s="2018">
        <v>137078900</v>
      </c>
      <c r="H174" s="2024"/>
    </row>
    <row r="175" spans="1:8" ht="15.75" customHeight="1" x14ac:dyDescent="0.25">
      <c r="A175" s="2017" t="s">
        <v>1817</v>
      </c>
      <c r="B175" s="2017" t="s">
        <v>1592</v>
      </c>
      <c r="C175" s="2017" t="s">
        <v>1593</v>
      </c>
      <c r="D175" s="2017" t="s">
        <v>1765</v>
      </c>
      <c r="E175" s="2017" t="s">
        <v>1784</v>
      </c>
      <c r="F175" s="2017" t="s">
        <v>1785</v>
      </c>
      <c r="G175" s="2018">
        <v>137078900</v>
      </c>
      <c r="H175" s="2024"/>
    </row>
    <row r="176" spans="1:8" ht="15.75" customHeight="1" x14ac:dyDescent="0.25">
      <c r="A176" s="2017" t="s">
        <v>1817</v>
      </c>
      <c r="B176" s="2017" t="s">
        <v>1592</v>
      </c>
      <c r="C176" s="2017" t="s">
        <v>1593</v>
      </c>
      <c r="D176" s="2017" t="s">
        <v>1765</v>
      </c>
      <c r="E176" s="2017" t="s">
        <v>1743</v>
      </c>
      <c r="F176" s="2017" t="s">
        <v>1646</v>
      </c>
      <c r="G176" s="2018">
        <v>3553298408</v>
      </c>
      <c r="H176" s="2024"/>
    </row>
    <row r="177" spans="1:8" ht="15.75" customHeight="1" x14ac:dyDescent="0.25">
      <c r="A177" s="2017" t="s">
        <v>1817</v>
      </c>
      <c r="B177" s="2017" t="s">
        <v>1592</v>
      </c>
      <c r="C177" s="2017" t="s">
        <v>1593</v>
      </c>
      <c r="D177" s="2017" t="s">
        <v>1765</v>
      </c>
      <c r="E177" s="2017" t="s">
        <v>1743</v>
      </c>
      <c r="F177" s="2017" t="s">
        <v>1744</v>
      </c>
      <c r="G177" s="2018">
        <v>2787643997</v>
      </c>
      <c r="H177" s="2024"/>
    </row>
    <row r="178" spans="1:8" ht="15.75" customHeight="1" x14ac:dyDescent="0.25">
      <c r="A178" s="2017" t="s">
        <v>1817</v>
      </c>
      <c r="B178" s="2017" t="s">
        <v>1592</v>
      </c>
      <c r="C178" s="2017" t="s">
        <v>1593</v>
      </c>
      <c r="D178" s="2017" t="s">
        <v>1765</v>
      </c>
      <c r="E178" s="2017" t="s">
        <v>1743</v>
      </c>
      <c r="F178" s="2017" t="s">
        <v>1745</v>
      </c>
      <c r="G178" s="2018">
        <v>477326949</v>
      </c>
      <c r="H178" s="2024"/>
    </row>
    <row r="179" spans="1:8" ht="15.75" customHeight="1" x14ac:dyDescent="0.25">
      <c r="A179" s="2017" t="s">
        <v>1817</v>
      </c>
      <c r="B179" s="2017" t="s">
        <v>1592</v>
      </c>
      <c r="C179" s="2017" t="s">
        <v>1593</v>
      </c>
      <c r="D179" s="2017" t="s">
        <v>1765</v>
      </c>
      <c r="E179" s="2017" t="s">
        <v>1743</v>
      </c>
      <c r="F179" s="2017" t="s">
        <v>1746</v>
      </c>
      <c r="G179" s="2018">
        <v>129104327</v>
      </c>
      <c r="H179" s="2024"/>
    </row>
    <row r="180" spans="1:8" ht="15.75" customHeight="1" x14ac:dyDescent="0.25">
      <c r="A180" s="2017" t="s">
        <v>1817</v>
      </c>
      <c r="B180" s="2017" t="s">
        <v>1592</v>
      </c>
      <c r="C180" s="2017" t="s">
        <v>1593</v>
      </c>
      <c r="D180" s="2017" t="s">
        <v>1765</v>
      </c>
      <c r="E180" s="2017" t="s">
        <v>1743</v>
      </c>
      <c r="F180" s="2017" t="s">
        <v>1747</v>
      </c>
      <c r="G180" s="2018">
        <v>159223135</v>
      </c>
      <c r="H180" s="2024"/>
    </row>
    <row r="181" spans="1:8" ht="15.75" customHeight="1" x14ac:dyDescent="0.25">
      <c r="A181" s="2017" t="s">
        <v>1817</v>
      </c>
      <c r="B181" s="2017" t="s">
        <v>1592</v>
      </c>
      <c r="C181" s="2017" t="s">
        <v>1593</v>
      </c>
      <c r="D181" s="2017" t="s">
        <v>1765</v>
      </c>
      <c r="E181" s="2017" t="s">
        <v>1748</v>
      </c>
      <c r="F181" s="2017" t="s">
        <v>1646</v>
      </c>
      <c r="G181" s="2018">
        <v>1309723263</v>
      </c>
      <c r="H181" s="2024"/>
    </row>
    <row r="182" spans="1:8" ht="15.75" customHeight="1" x14ac:dyDescent="0.25">
      <c r="A182" s="2017" t="s">
        <v>1817</v>
      </c>
      <c r="B182" s="2017" t="s">
        <v>1592</v>
      </c>
      <c r="C182" s="2017" t="s">
        <v>1593</v>
      </c>
      <c r="D182" s="2017" t="s">
        <v>1765</v>
      </c>
      <c r="E182" s="2017" t="s">
        <v>1748</v>
      </c>
      <c r="F182" s="2017" t="s">
        <v>1749</v>
      </c>
      <c r="G182" s="2018">
        <v>552712000</v>
      </c>
      <c r="H182" s="2024"/>
    </row>
    <row r="183" spans="1:8" ht="15.75" customHeight="1" x14ac:dyDescent="0.25">
      <c r="A183" s="2017" t="s">
        <v>1817</v>
      </c>
      <c r="B183" s="2017" t="s">
        <v>1592</v>
      </c>
      <c r="C183" s="2017" t="s">
        <v>1593</v>
      </c>
      <c r="D183" s="2017" t="s">
        <v>1765</v>
      </c>
      <c r="E183" s="2017" t="s">
        <v>1748</v>
      </c>
      <c r="F183" s="2017" t="s">
        <v>1767</v>
      </c>
      <c r="G183" s="2018">
        <v>757011263</v>
      </c>
      <c r="H183" s="2024"/>
    </row>
    <row r="184" spans="1:8" ht="15.75" customHeight="1" x14ac:dyDescent="0.25">
      <c r="A184" s="2017" t="s">
        <v>1817</v>
      </c>
      <c r="B184" s="2017" t="s">
        <v>1592</v>
      </c>
      <c r="C184" s="2017" t="s">
        <v>1593</v>
      </c>
      <c r="D184" s="2017" t="s">
        <v>1765</v>
      </c>
      <c r="E184" s="2017" t="s">
        <v>1751</v>
      </c>
      <c r="F184" s="2017" t="s">
        <v>1646</v>
      </c>
      <c r="G184" s="2018">
        <v>184938848</v>
      </c>
      <c r="H184" s="2024"/>
    </row>
    <row r="185" spans="1:8" ht="15.75" customHeight="1" x14ac:dyDescent="0.25">
      <c r="A185" s="2017" t="s">
        <v>1817</v>
      </c>
      <c r="B185" s="2017" t="s">
        <v>1592</v>
      </c>
      <c r="C185" s="2017" t="s">
        <v>1593</v>
      </c>
      <c r="D185" s="2017" t="s">
        <v>1765</v>
      </c>
      <c r="E185" s="2017" t="s">
        <v>1751</v>
      </c>
      <c r="F185" s="2017" t="s">
        <v>1752</v>
      </c>
      <c r="G185" s="2018">
        <v>130299047</v>
      </c>
      <c r="H185" s="2024"/>
    </row>
    <row r="186" spans="1:8" ht="15.75" customHeight="1" x14ac:dyDescent="0.25">
      <c r="A186" s="2017" t="s">
        <v>1817</v>
      </c>
      <c r="B186" s="2017" t="s">
        <v>1592</v>
      </c>
      <c r="C186" s="2017" t="s">
        <v>1593</v>
      </c>
      <c r="D186" s="2017" t="s">
        <v>1765</v>
      </c>
      <c r="E186" s="2017" t="s">
        <v>1751</v>
      </c>
      <c r="F186" s="2017" t="s">
        <v>1818</v>
      </c>
      <c r="G186" s="2018">
        <v>36098401</v>
      </c>
      <c r="H186" s="2024"/>
    </row>
    <row r="187" spans="1:8" ht="15.75" customHeight="1" x14ac:dyDescent="0.25">
      <c r="A187" s="2017" t="s">
        <v>1817</v>
      </c>
      <c r="B187" s="2017" t="s">
        <v>1592</v>
      </c>
      <c r="C187" s="2017" t="s">
        <v>1593</v>
      </c>
      <c r="D187" s="2017" t="s">
        <v>1765</v>
      </c>
      <c r="E187" s="2017" t="s">
        <v>1751</v>
      </c>
      <c r="F187" s="2017" t="s">
        <v>1753</v>
      </c>
      <c r="G187" s="2018">
        <v>6000000</v>
      </c>
      <c r="H187" s="2024"/>
    </row>
    <row r="188" spans="1:8" ht="15.75" customHeight="1" x14ac:dyDescent="0.25">
      <c r="A188" s="2017" t="s">
        <v>1817</v>
      </c>
      <c r="B188" s="2017" t="s">
        <v>1592</v>
      </c>
      <c r="C188" s="2017" t="s">
        <v>1593</v>
      </c>
      <c r="D188" s="2017" t="s">
        <v>1765</v>
      </c>
      <c r="E188" s="2017" t="s">
        <v>1751</v>
      </c>
      <c r="F188" s="2017" t="s">
        <v>1819</v>
      </c>
      <c r="G188" s="2018">
        <v>12541400</v>
      </c>
      <c r="H188" s="2024"/>
    </row>
    <row r="189" spans="1:8" ht="15.75" customHeight="1" x14ac:dyDescent="0.25">
      <c r="A189" s="2017" t="s">
        <v>1817</v>
      </c>
      <c r="B189" s="2017" t="s">
        <v>1592</v>
      </c>
      <c r="C189" s="2017" t="s">
        <v>1593</v>
      </c>
      <c r="D189" s="2017" t="s">
        <v>1765</v>
      </c>
      <c r="E189" s="2017" t="s">
        <v>1623</v>
      </c>
      <c r="F189" s="2017" t="s">
        <v>1646</v>
      </c>
      <c r="G189" s="2018">
        <v>1467342961</v>
      </c>
      <c r="H189" s="2024"/>
    </row>
    <row r="190" spans="1:8" ht="15.75" customHeight="1" x14ac:dyDescent="0.25">
      <c r="A190" s="2017" t="s">
        <v>1817</v>
      </c>
      <c r="B190" s="2017" t="s">
        <v>1592</v>
      </c>
      <c r="C190" s="2017" t="s">
        <v>1593</v>
      </c>
      <c r="D190" s="2017" t="s">
        <v>1765</v>
      </c>
      <c r="E190" s="2017" t="s">
        <v>1623</v>
      </c>
      <c r="F190" s="2017" t="s">
        <v>1624</v>
      </c>
      <c r="G190" s="2018">
        <v>68067740</v>
      </c>
      <c r="H190" s="2024"/>
    </row>
    <row r="191" spans="1:8" ht="15.75" customHeight="1" x14ac:dyDescent="0.25">
      <c r="A191" s="2017" t="s">
        <v>1817</v>
      </c>
      <c r="B191" s="2017" t="s">
        <v>1592</v>
      </c>
      <c r="C191" s="2017" t="s">
        <v>1593</v>
      </c>
      <c r="D191" s="2017" t="s">
        <v>1765</v>
      </c>
      <c r="E191" s="2017" t="s">
        <v>1623</v>
      </c>
      <c r="F191" s="2017" t="s">
        <v>1639</v>
      </c>
      <c r="G191" s="2018">
        <v>1245735999</v>
      </c>
      <c r="H191" s="2024"/>
    </row>
    <row r="192" spans="1:8" ht="15.75" customHeight="1" x14ac:dyDescent="0.25">
      <c r="A192" s="2017" t="s">
        <v>1817</v>
      </c>
      <c r="B192" s="2017" t="s">
        <v>1592</v>
      </c>
      <c r="C192" s="2017" t="s">
        <v>1593</v>
      </c>
      <c r="D192" s="2017" t="s">
        <v>1765</v>
      </c>
      <c r="E192" s="2017" t="s">
        <v>1623</v>
      </c>
      <c r="F192" s="2017" t="s">
        <v>1820</v>
      </c>
      <c r="G192" s="2018">
        <v>53720000</v>
      </c>
      <c r="H192" s="2024"/>
    </row>
    <row r="193" spans="1:8" ht="15.75" customHeight="1" x14ac:dyDescent="0.25">
      <c r="A193" s="2017" t="s">
        <v>1817</v>
      </c>
      <c r="B193" s="2017" t="s">
        <v>1592</v>
      </c>
      <c r="C193" s="2017" t="s">
        <v>1593</v>
      </c>
      <c r="D193" s="2017" t="s">
        <v>1765</v>
      </c>
      <c r="E193" s="2017" t="s">
        <v>1623</v>
      </c>
      <c r="F193" s="2017" t="s">
        <v>1634</v>
      </c>
      <c r="G193" s="2018">
        <v>99819222</v>
      </c>
      <c r="H193" s="2024"/>
    </row>
    <row r="194" spans="1:8" ht="15.75" customHeight="1" x14ac:dyDescent="0.25">
      <c r="A194" s="2017" t="s">
        <v>1817</v>
      </c>
      <c r="B194" s="2017" t="s">
        <v>1592</v>
      </c>
      <c r="C194" s="2017" t="s">
        <v>1593</v>
      </c>
      <c r="D194" s="2017" t="s">
        <v>1765</v>
      </c>
      <c r="E194" s="2017" t="s">
        <v>1652</v>
      </c>
      <c r="F194" s="2017" t="s">
        <v>1646</v>
      </c>
      <c r="G194" s="2018">
        <v>97059583</v>
      </c>
      <c r="H194" s="2024"/>
    </row>
    <row r="195" spans="1:8" ht="15.75" customHeight="1" x14ac:dyDescent="0.25">
      <c r="A195" s="2017" t="s">
        <v>1817</v>
      </c>
      <c r="B195" s="2017" t="s">
        <v>1592</v>
      </c>
      <c r="C195" s="2017" t="s">
        <v>1593</v>
      </c>
      <c r="D195" s="2017" t="s">
        <v>1765</v>
      </c>
      <c r="E195" s="2017" t="s">
        <v>1652</v>
      </c>
      <c r="F195" s="2017" t="s">
        <v>1754</v>
      </c>
      <c r="G195" s="2018">
        <v>10280100</v>
      </c>
      <c r="H195" s="2024"/>
    </row>
    <row r="196" spans="1:8" ht="15.75" customHeight="1" x14ac:dyDescent="0.25">
      <c r="A196" s="2017" t="s">
        <v>1817</v>
      </c>
      <c r="B196" s="2017" t="s">
        <v>1592</v>
      </c>
      <c r="C196" s="2017" t="s">
        <v>1593</v>
      </c>
      <c r="D196" s="2017" t="s">
        <v>1765</v>
      </c>
      <c r="E196" s="2017" t="s">
        <v>1652</v>
      </c>
      <c r="F196" s="2017" t="s">
        <v>1755</v>
      </c>
      <c r="G196" s="2018">
        <v>56538883</v>
      </c>
      <c r="H196" s="2024"/>
    </row>
    <row r="197" spans="1:8" ht="15.75" customHeight="1" x14ac:dyDescent="0.25">
      <c r="A197" s="2017" t="s">
        <v>1817</v>
      </c>
      <c r="B197" s="2017" t="s">
        <v>1592</v>
      </c>
      <c r="C197" s="2017" t="s">
        <v>1593</v>
      </c>
      <c r="D197" s="2017" t="s">
        <v>1765</v>
      </c>
      <c r="E197" s="2017" t="s">
        <v>1652</v>
      </c>
      <c r="F197" s="2017" t="s">
        <v>1800</v>
      </c>
      <c r="G197" s="2018">
        <v>30240600</v>
      </c>
      <c r="H197" s="2024"/>
    </row>
    <row r="198" spans="1:8" ht="15.75" customHeight="1" x14ac:dyDescent="0.25">
      <c r="A198" s="2017" t="s">
        <v>1817</v>
      </c>
      <c r="B198" s="2017" t="s">
        <v>1592</v>
      </c>
      <c r="C198" s="2017" t="s">
        <v>1593</v>
      </c>
      <c r="D198" s="2017" t="s">
        <v>1765</v>
      </c>
      <c r="E198" s="2017" t="s">
        <v>1609</v>
      </c>
      <c r="F198" s="2017" t="s">
        <v>1646</v>
      </c>
      <c r="G198" s="2018">
        <v>28360408</v>
      </c>
      <c r="H198" s="2024"/>
    </row>
    <row r="199" spans="1:8" ht="15.75" customHeight="1" x14ac:dyDescent="0.25">
      <c r="A199" s="2017" t="s">
        <v>1817</v>
      </c>
      <c r="B199" s="2017" t="s">
        <v>1592</v>
      </c>
      <c r="C199" s="2017" t="s">
        <v>1593</v>
      </c>
      <c r="D199" s="2017" t="s">
        <v>1765</v>
      </c>
      <c r="E199" s="2017" t="s">
        <v>1609</v>
      </c>
      <c r="F199" s="2017" t="s">
        <v>1610</v>
      </c>
      <c r="G199" s="2018">
        <v>10918522</v>
      </c>
      <c r="H199" s="2024"/>
    </row>
    <row r="200" spans="1:8" ht="15.75" customHeight="1" x14ac:dyDescent="0.25">
      <c r="A200" s="2017" t="s">
        <v>1817</v>
      </c>
      <c r="B200" s="2017" t="s">
        <v>1592</v>
      </c>
      <c r="C200" s="2017" t="s">
        <v>1593</v>
      </c>
      <c r="D200" s="2017" t="s">
        <v>1765</v>
      </c>
      <c r="E200" s="2017" t="s">
        <v>1609</v>
      </c>
      <c r="F200" s="2017" t="s">
        <v>1611</v>
      </c>
      <c r="G200" s="2018">
        <v>6080000</v>
      </c>
      <c r="H200" s="2024"/>
    </row>
    <row r="201" spans="1:8" ht="15.75" customHeight="1" x14ac:dyDescent="0.25">
      <c r="A201" s="2017" t="s">
        <v>1817</v>
      </c>
      <c r="B201" s="2017" t="s">
        <v>1592</v>
      </c>
      <c r="C201" s="2017" t="s">
        <v>1593</v>
      </c>
      <c r="D201" s="2017" t="s">
        <v>1765</v>
      </c>
      <c r="E201" s="2017" t="s">
        <v>1609</v>
      </c>
      <c r="F201" s="2017" t="s">
        <v>1612</v>
      </c>
      <c r="G201" s="2018">
        <v>11361886</v>
      </c>
      <c r="H201" s="2024"/>
    </row>
    <row r="202" spans="1:8" ht="15.75" customHeight="1" x14ac:dyDescent="0.25">
      <c r="A202" s="2017" t="s">
        <v>1817</v>
      </c>
      <c r="B202" s="2017" t="s">
        <v>1592</v>
      </c>
      <c r="C202" s="2017" t="s">
        <v>1593</v>
      </c>
      <c r="D202" s="2017" t="s">
        <v>1765</v>
      </c>
      <c r="E202" s="2017" t="s">
        <v>1660</v>
      </c>
      <c r="F202" s="2017" t="s">
        <v>1646</v>
      </c>
      <c r="G202" s="2018">
        <v>91509320</v>
      </c>
      <c r="H202" s="2024"/>
    </row>
    <row r="203" spans="1:8" ht="15.75" customHeight="1" x14ac:dyDescent="0.25">
      <c r="A203" s="2017" t="s">
        <v>1817</v>
      </c>
      <c r="B203" s="2017" t="s">
        <v>1592</v>
      </c>
      <c r="C203" s="2017" t="s">
        <v>1593</v>
      </c>
      <c r="D203" s="2017" t="s">
        <v>1765</v>
      </c>
      <c r="E203" s="2017" t="s">
        <v>1660</v>
      </c>
      <c r="F203" s="2017" t="s">
        <v>1756</v>
      </c>
      <c r="G203" s="2018">
        <v>19559320</v>
      </c>
      <c r="H203" s="2024"/>
    </row>
    <row r="204" spans="1:8" ht="15.75" customHeight="1" x14ac:dyDescent="0.25">
      <c r="A204" s="2017" t="s">
        <v>1817</v>
      </c>
      <c r="B204" s="2017" t="s">
        <v>1592</v>
      </c>
      <c r="C204" s="2017" t="s">
        <v>1593</v>
      </c>
      <c r="D204" s="2017" t="s">
        <v>1765</v>
      </c>
      <c r="E204" s="2017" t="s">
        <v>1660</v>
      </c>
      <c r="F204" s="2017" t="s">
        <v>1661</v>
      </c>
      <c r="G204" s="2018">
        <v>30600000</v>
      </c>
      <c r="H204" s="2024"/>
    </row>
    <row r="205" spans="1:8" ht="15.75" customHeight="1" x14ac:dyDescent="0.25">
      <c r="A205" s="2017" t="s">
        <v>1817</v>
      </c>
      <c r="B205" s="2017" t="s">
        <v>1592</v>
      </c>
      <c r="C205" s="2017" t="s">
        <v>1593</v>
      </c>
      <c r="D205" s="2017" t="s">
        <v>1765</v>
      </c>
      <c r="E205" s="2017" t="s">
        <v>1660</v>
      </c>
      <c r="F205" s="2017" t="s">
        <v>1662</v>
      </c>
      <c r="G205" s="2018">
        <v>24150000</v>
      </c>
      <c r="H205" s="2024"/>
    </row>
    <row r="206" spans="1:8" ht="15.75" customHeight="1" x14ac:dyDescent="0.25">
      <c r="A206" s="2017" t="s">
        <v>1817</v>
      </c>
      <c r="B206" s="2017" t="s">
        <v>1592</v>
      </c>
      <c r="C206" s="2017" t="s">
        <v>1593</v>
      </c>
      <c r="D206" s="2017" t="s">
        <v>1765</v>
      </c>
      <c r="E206" s="2017" t="s">
        <v>1660</v>
      </c>
      <c r="F206" s="2017" t="s">
        <v>1768</v>
      </c>
      <c r="G206" s="2018">
        <v>17200000</v>
      </c>
      <c r="H206" s="2024"/>
    </row>
    <row r="207" spans="1:8" ht="15.75" customHeight="1" x14ac:dyDescent="0.25">
      <c r="A207" s="2017" t="s">
        <v>1817</v>
      </c>
      <c r="B207" s="2017" t="s">
        <v>1592</v>
      </c>
      <c r="C207" s="2017" t="s">
        <v>1593</v>
      </c>
      <c r="D207" s="2017" t="s">
        <v>1765</v>
      </c>
      <c r="E207" s="2017" t="s">
        <v>1654</v>
      </c>
      <c r="F207" s="2017" t="s">
        <v>1646</v>
      </c>
      <c r="G207" s="2018">
        <v>402962815</v>
      </c>
      <c r="H207" s="2024"/>
    </row>
    <row r="208" spans="1:8" ht="15.75" customHeight="1" x14ac:dyDescent="0.25">
      <c r="A208" s="2017" t="s">
        <v>1817</v>
      </c>
      <c r="B208" s="2017" t="s">
        <v>1592</v>
      </c>
      <c r="C208" s="2017" t="s">
        <v>1593</v>
      </c>
      <c r="D208" s="2017" t="s">
        <v>1765</v>
      </c>
      <c r="E208" s="2017" t="s">
        <v>1654</v>
      </c>
      <c r="F208" s="2017" t="s">
        <v>1663</v>
      </c>
      <c r="G208" s="2018">
        <v>2000000</v>
      </c>
      <c r="H208" s="2024"/>
    </row>
    <row r="209" spans="1:8" ht="15.75" customHeight="1" x14ac:dyDescent="0.25">
      <c r="A209" s="2017" t="s">
        <v>1817</v>
      </c>
      <c r="B209" s="2017" t="s">
        <v>1592</v>
      </c>
      <c r="C209" s="2017" t="s">
        <v>1593</v>
      </c>
      <c r="D209" s="2017" t="s">
        <v>1765</v>
      </c>
      <c r="E209" s="2017" t="s">
        <v>1654</v>
      </c>
      <c r="F209" s="2017" t="s">
        <v>1757</v>
      </c>
      <c r="G209" s="2018">
        <v>259724223</v>
      </c>
      <c r="H209" s="2024"/>
    </row>
    <row r="210" spans="1:8" ht="15.75" customHeight="1" x14ac:dyDescent="0.25">
      <c r="A210" s="2017" t="s">
        <v>1817</v>
      </c>
      <c r="B210" s="2017" t="s">
        <v>1592</v>
      </c>
      <c r="C210" s="2017" t="s">
        <v>1593</v>
      </c>
      <c r="D210" s="2017" t="s">
        <v>1765</v>
      </c>
      <c r="E210" s="2017" t="s">
        <v>1654</v>
      </c>
      <c r="F210" s="2017" t="s">
        <v>1655</v>
      </c>
      <c r="G210" s="2018">
        <v>141238592</v>
      </c>
      <c r="H210" s="2024"/>
    </row>
    <row r="211" spans="1:8" ht="15.75" customHeight="1" x14ac:dyDescent="0.25">
      <c r="A211" s="2017" t="s">
        <v>1817</v>
      </c>
      <c r="B211" s="2017" t="s">
        <v>1592</v>
      </c>
      <c r="C211" s="2017" t="s">
        <v>1593</v>
      </c>
      <c r="D211" s="2017" t="s">
        <v>1765</v>
      </c>
      <c r="E211" s="2017" t="s">
        <v>1602</v>
      </c>
      <c r="F211" s="2017" t="s">
        <v>1646</v>
      </c>
      <c r="G211" s="2018">
        <v>626790510</v>
      </c>
      <c r="H211" s="2024"/>
    </row>
    <row r="212" spans="1:8" ht="15.75" customHeight="1" x14ac:dyDescent="0.25">
      <c r="A212" s="2017" t="s">
        <v>1817</v>
      </c>
      <c r="B212" s="2017" t="s">
        <v>1592</v>
      </c>
      <c r="C212" s="2017" t="s">
        <v>1593</v>
      </c>
      <c r="D212" s="2017" t="s">
        <v>1765</v>
      </c>
      <c r="E212" s="2017" t="s">
        <v>1602</v>
      </c>
      <c r="F212" s="2017" t="s">
        <v>1680</v>
      </c>
      <c r="G212" s="2018">
        <v>463333510</v>
      </c>
      <c r="H212" s="2024"/>
    </row>
    <row r="213" spans="1:8" ht="15.75" customHeight="1" x14ac:dyDescent="0.25">
      <c r="A213" s="2017" t="s">
        <v>1817</v>
      </c>
      <c r="B213" s="2017" t="s">
        <v>1592</v>
      </c>
      <c r="C213" s="2017" t="s">
        <v>1593</v>
      </c>
      <c r="D213" s="2017" t="s">
        <v>1765</v>
      </c>
      <c r="E213" s="2017" t="s">
        <v>1602</v>
      </c>
      <c r="F213" s="2017" t="s">
        <v>1759</v>
      </c>
      <c r="G213" s="2018">
        <v>760000</v>
      </c>
      <c r="H213" s="2024"/>
    </row>
    <row r="214" spans="1:8" ht="15.75" customHeight="1" x14ac:dyDescent="0.25">
      <c r="A214" s="2017" t="s">
        <v>1817</v>
      </c>
      <c r="B214" s="2017" t="s">
        <v>1592</v>
      </c>
      <c r="C214" s="2017" t="s">
        <v>1593</v>
      </c>
      <c r="D214" s="2017" t="s">
        <v>1765</v>
      </c>
      <c r="E214" s="2017" t="s">
        <v>1602</v>
      </c>
      <c r="F214" s="2017" t="s">
        <v>1760</v>
      </c>
      <c r="G214" s="2018">
        <v>10816700</v>
      </c>
      <c r="H214" s="2024"/>
    </row>
    <row r="215" spans="1:8" ht="15.75" customHeight="1" x14ac:dyDescent="0.25">
      <c r="A215" s="2017" t="s">
        <v>1817</v>
      </c>
      <c r="B215" s="2017" t="s">
        <v>1592</v>
      </c>
      <c r="C215" s="2017" t="s">
        <v>1593</v>
      </c>
      <c r="D215" s="2017" t="s">
        <v>1765</v>
      </c>
      <c r="E215" s="2017" t="s">
        <v>1602</v>
      </c>
      <c r="F215" s="2017" t="s">
        <v>1761</v>
      </c>
      <c r="G215" s="2018">
        <v>151880300</v>
      </c>
      <c r="H215" s="2024"/>
    </row>
    <row r="216" spans="1:8" ht="15.75" customHeight="1" x14ac:dyDescent="0.25">
      <c r="A216" s="2017" t="s">
        <v>1817</v>
      </c>
      <c r="B216" s="2017" t="s">
        <v>1592</v>
      </c>
      <c r="C216" s="2017" t="s">
        <v>1593</v>
      </c>
      <c r="D216" s="2017" t="s">
        <v>1765</v>
      </c>
      <c r="E216" s="2017" t="s">
        <v>1630</v>
      </c>
      <c r="F216" s="2017" t="s">
        <v>1646</v>
      </c>
      <c r="G216" s="2018">
        <v>2071564800</v>
      </c>
      <c r="H216" s="2024"/>
    </row>
    <row r="217" spans="1:8" ht="15.75" customHeight="1" x14ac:dyDescent="0.25">
      <c r="A217" s="2017" t="s">
        <v>1817</v>
      </c>
      <c r="B217" s="2017" t="s">
        <v>1592</v>
      </c>
      <c r="C217" s="2017" t="s">
        <v>1593</v>
      </c>
      <c r="D217" s="2017" t="s">
        <v>1765</v>
      </c>
      <c r="E217" s="2017" t="s">
        <v>1630</v>
      </c>
      <c r="F217" s="2017" t="s">
        <v>1769</v>
      </c>
      <c r="G217" s="2018">
        <v>425700000</v>
      </c>
      <c r="H217" s="2024"/>
    </row>
    <row r="218" spans="1:8" ht="15.75" customHeight="1" x14ac:dyDescent="0.25">
      <c r="A218" s="2017" t="s">
        <v>1817</v>
      </c>
      <c r="B218" s="2017" t="s">
        <v>1592</v>
      </c>
      <c r="C218" s="2017" t="s">
        <v>1593</v>
      </c>
      <c r="D218" s="2017" t="s">
        <v>1765</v>
      </c>
      <c r="E218" s="2017" t="s">
        <v>1630</v>
      </c>
      <c r="F218" s="2017" t="s">
        <v>1631</v>
      </c>
      <c r="G218" s="2018">
        <v>678720000</v>
      </c>
      <c r="H218" s="2024"/>
    </row>
    <row r="219" spans="1:8" ht="15.75" customHeight="1" x14ac:dyDescent="0.25">
      <c r="A219" s="2017" t="s">
        <v>1817</v>
      </c>
      <c r="B219" s="2017" t="s">
        <v>1592</v>
      </c>
      <c r="C219" s="2017" t="s">
        <v>1593</v>
      </c>
      <c r="D219" s="2017" t="s">
        <v>1765</v>
      </c>
      <c r="E219" s="2017" t="s">
        <v>1630</v>
      </c>
      <c r="F219" s="2017" t="s">
        <v>1640</v>
      </c>
      <c r="G219" s="2018">
        <v>967144800</v>
      </c>
      <c r="H219" s="2024"/>
    </row>
    <row r="220" spans="1:8" ht="15.75" customHeight="1" x14ac:dyDescent="0.25">
      <c r="A220" s="2017" t="s">
        <v>1817</v>
      </c>
      <c r="B220" s="2017" t="s">
        <v>1592</v>
      </c>
      <c r="C220" s="2017" t="s">
        <v>1593</v>
      </c>
      <c r="D220" s="2017" t="s">
        <v>1765</v>
      </c>
      <c r="E220" s="2017" t="s">
        <v>1618</v>
      </c>
      <c r="F220" s="2017" t="s">
        <v>1646</v>
      </c>
      <c r="G220" s="2018">
        <v>1701777845</v>
      </c>
      <c r="H220" s="2024"/>
    </row>
    <row r="221" spans="1:8" ht="15.75" customHeight="1" x14ac:dyDescent="0.25">
      <c r="A221" s="2017" t="s">
        <v>1817</v>
      </c>
      <c r="B221" s="2017" t="s">
        <v>1592</v>
      </c>
      <c r="C221" s="2017" t="s">
        <v>1593</v>
      </c>
      <c r="D221" s="2017" t="s">
        <v>1765</v>
      </c>
      <c r="E221" s="2017" t="s">
        <v>1618</v>
      </c>
      <c r="F221" s="2017" t="s">
        <v>1619</v>
      </c>
      <c r="G221" s="2018">
        <v>586152476</v>
      </c>
      <c r="H221" s="2024"/>
    </row>
    <row r="222" spans="1:8" ht="15.75" customHeight="1" x14ac:dyDescent="0.25">
      <c r="A222" s="2017" t="s">
        <v>1817</v>
      </c>
      <c r="B222" s="2017" t="s">
        <v>1592</v>
      </c>
      <c r="C222" s="2017" t="s">
        <v>1593</v>
      </c>
      <c r="D222" s="2017" t="s">
        <v>1765</v>
      </c>
      <c r="E222" s="2017" t="s">
        <v>1618</v>
      </c>
      <c r="F222" s="2017" t="s">
        <v>1762</v>
      </c>
      <c r="G222" s="2018">
        <v>20000000</v>
      </c>
      <c r="H222" s="2024"/>
    </row>
    <row r="223" spans="1:8" ht="15.75" customHeight="1" x14ac:dyDescent="0.25">
      <c r="A223" s="2017" t="s">
        <v>1817</v>
      </c>
      <c r="B223" s="2017" t="s">
        <v>1592</v>
      </c>
      <c r="C223" s="2017" t="s">
        <v>1593</v>
      </c>
      <c r="D223" s="2017" t="s">
        <v>1765</v>
      </c>
      <c r="E223" s="2017" t="s">
        <v>1618</v>
      </c>
      <c r="F223" s="2017" t="s">
        <v>1716</v>
      </c>
      <c r="G223" s="2018">
        <v>4820943</v>
      </c>
      <c r="H223" s="2024"/>
    </row>
    <row r="224" spans="1:8" ht="15.75" customHeight="1" x14ac:dyDescent="0.25">
      <c r="A224" s="2017" t="s">
        <v>1817</v>
      </c>
      <c r="B224" s="2017" t="s">
        <v>1592</v>
      </c>
      <c r="C224" s="2017" t="s">
        <v>1593</v>
      </c>
      <c r="D224" s="2017" t="s">
        <v>1765</v>
      </c>
      <c r="E224" s="2017" t="s">
        <v>1618</v>
      </c>
      <c r="F224" s="2017" t="s">
        <v>1622</v>
      </c>
      <c r="G224" s="2018">
        <v>1090804426</v>
      </c>
      <c r="H224" s="2024"/>
    </row>
    <row r="225" spans="1:8" ht="15.75" customHeight="1" x14ac:dyDescent="0.25">
      <c r="A225" s="2017" t="s">
        <v>1817</v>
      </c>
      <c r="B225" s="2017" t="s">
        <v>1592</v>
      </c>
      <c r="C225" s="2017" t="s">
        <v>1593</v>
      </c>
      <c r="D225" s="2017" t="s">
        <v>1765</v>
      </c>
      <c r="E225" s="2017" t="s">
        <v>1615</v>
      </c>
      <c r="F225" s="2017" t="s">
        <v>1646</v>
      </c>
      <c r="G225" s="2018">
        <v>2182337656</v>
      </c>
      <c r="H225" s="2024"/>
    </row>
    <row r="226" spans="1:8" ht="15.75" customHeight="1" x14ac:dyDescent="0.25">
      <c r="A226" s="2017" t="s">
        <v>1817</v>
      </c>
      <c r="B226" s="2017" t="s">
        <v>1592</v>
      </c>
      <c r="C226" s="2017" t="s">
        <v>1593</v>
      </c>
      <c r="D226" s="2017" t="s">
        <v>1765</v>
      </c>
      <c r="E226" s="2017" t="s">
        <v>1615</v>
      </c>
      <c r="F226" s="2017" t="s">
        <v>1635</v>
      </c>
      <c r="G226" s="2018">
        <v>3419120</v>
      </c>
      <c r="H226" s="2024"/>
    </row>
    <row r="227" spans="1:8" ht="15.75" customHeight="1" x14ac:dyDescent="0.25">
      <c r="A227" s="2017" t="s">
        <v>1817</v>
      </c>
      <c r="B227" s="2017" t="s">
        <v>1592</v>
      </c>
      <c r="C227" s="2017" t="s">
        <v>1593</v>
      </c>
      <c r="D227" s="2017" t="s">
        <v>1765</v>
      </c>
      <c r="E227" s="2017" t="s">
        <v>1615</v>
      </c>
      <c r="F227" s="2017" t="s">
        <v>1794</v>
      </c>
      <c r="G227" s="2018">
        <v>4419250</v>
      </c>
      <c r="H227" s="2024"/>
    </row>
    <row r="228" spans="1:8" ht="15.75" customHeight="1" x14ac:dyDescent="0.25">
      <c r="A228" s="2017" t="s">
        <v>1817</v>
      </c>
      <c r="B228" s="2017" t="s">
        <v>1592</v>
      </c>
      <c r="C228" s="2017" t="s">
        <v>1593</v>
      </c>
      <c r="D228" s="2017" t="s">
        <v>1765</v>
      </c>
      <c r="E228" s="2017" t="s">
        <v>1615</v>
      </c>
      <c r="F228" s="2017" t="s">
        <v>1763</v>
      </c>
      <c r="G228" s="2018">
        <v>23578400</v>
      </c>
      <c r="H228" s="2024"/>
    </row>
    <row r="229" spans="1:8" ht="15.75" customHeight="1" x14ac:dyDescent="0.25">
      <c r="A229" s="2017" t="s">
        <v>1817</v>
      </c>
      <c r="B229" s="2017" t="s">
        <v>1592</v>
      </c>
      <c r="C229" s="2017" t="s">
        <v>1593</v>
      </c>
      <c r="D229" s="2017" t="s">
        <v>1765</v>
      </c>
      <c r="E229" s="2017" t="s">
        <v>1615</v>
      </c>
      <c r="F229" s="2017" t="s">
        <v>1764</v>
      </c>
      <c r="G229" s="2018">
        <v>2009280000</v>
      </c>
      <c r="H229" s="2024"/>
    </row>
    <row r="230" spans="1:8" ht="15.75" customHeight="1" x14ac:dyDescent="0.25">
      <c r="A230" s="2017" t="s">
        <v>1817</v>
      </c>
      <c r="B230" s="2017" t="s">
        <v>1592</v>
      </c>
      <c r="C230" s="2017" t="s">
        <v>1593</v>
      </c>
      <c r="D230" s="2017" t="s">
        <v>1765</v>
      </c>
      <c r="E230" s="2017" t="s">
        <v>1615</v>
      </c>
      <c r="F230" s="2017" t="s">
        <v>1616</v>
      </c>
      <c r="G230" s="2018">
        <v>141640886</v>
      </c>
      <c r="H230" s="2024"/>
    </row>
    <row r="231" spans="1:8" ht="15.75" customHeight="1" x14ac:dyDescent="0.25">
      <c r="A231" s="2017" t="s">
        <v>1817</v>
      </c>
      <c r="B231" s="2017" t="s">
        <v>1592</v>
      </c>
      <c r="C231" s="2017" t="s">
        <v>1593</v>
      </c>
      <c r="D231" s="2017" t="s">
        <v>1594</v>
      </c>
      <c r="E231" s="2017" t="s">
        <v>1646</v>
      </c>
      <c r="F231" s="2017" t="s">
        <v>1646</v>
      </c>
      <c r="G231" s="2018">
        <v>37100289686</v>
      </c>
      <c r="H231" s="2024"/>
    </row>
    <row r="232" spans="1:8" ht="15.75" customHeight="1" x14ac:dyDescent="0.25">
      <c r="A232" s="2017" t="s">
        <v>1817</v>
      </c>
      <c r="B232" s="2017" t="s">
        <v>1592</v>
      </c>
      <c r="C232" s="2017" t="s">
        <v>1593</v>
      </c>
      <c r="D232" s="2017" t="s">
        <v>1594</v>
      </c>
      <c r="E232" s="2017" t="s">
        <v>1730</v>
      </c>
      <c r="F232" s="2017" t="s">
        <v>1646</v>
      </c>
      <c r="G232" s="2018">
        <v>10192509673</v>
      </c>
      <c r="H232" s="2024"/>
    </row>
    <row r="233" spans="1:8" ht="15.75" customHeight="1" x14ac:dyDescent="0.25">
      <c r="A233" s="2017" t="s">
        <v>1817</v>
      </c>
      <c r="B233" s="2017" t="s">
        <v>1592</v>
      </c>
      <c r="C233" s="2017" t="s">
        <v>1593</v>
      </c>
      <c r="D233" s="2017" t="s">
        <v>1594</v>
      </c>
      <c r="E233" s="2017" t="s">
        <v>1730</v>
      </c>
      <c r="F233" s="2017" t="s">
        <v>1731</v>
      </c>
      <c r="G233" s="2018">
        <v>10192509673</v>
      </c>
      <c r="H233" s="2024"/>
    </row>
    <row r="234" spans="1:8" ht="15.75" customHeight="1" x14ac:dyDescent="0.25">
      <c r="A234" s="2017" t="s">
        <v>1817</v>
      </c>
      <c r="B234" s="2017" t="s">
        <v>1592</v>
      </c>
      <c r="C234" s="2017" t="s">
        <v>1593</v>
      </c>
      <c r="D234" s="2017" t="s">
        <v>1594</v>
      </c>
      <c r="E234" s="2017" t="s">
        <v>1732</v>
      </c>
      <c r="F234" s="2017" t="s">
        <v>1646</v>
      </c>
      <c r="G234" s="2018">
        <v>353519000</v>
      </c>
      <c r="H234" s="2024"/>
    </row>
    <row r="235" spans="1:8" ht="15.75" customHeight="1" x14ac:dyDescent="0.25">
      <c r="A235" s="2017" t="s">
        <v>1817</v>
      </c>
      <c r="B235" s="2017" t="s">
        <v>1592</v>
      </c>
      <c r="C235" s="2017" t="s">
        <v>1593</v>
      </c>
      <c r="D235" s="2017" t="s">
        <v>1594</v>
      </c>
      <c r="E235" s="2017" t="s">
        <v>1732</v>
      </c>
      <c r="F235" s="2017" t="s">
        <v>1733</v>
      </c>
      <c r="G235" s="2018">
        <v>353519000</v>
      </c>
      <c r="H235" s="2024"/>
    </row>
    <row r="236" spans="1:8" ht="15.75" customHeight="1" x14ac:dyDescent="0.25">
      <c r="A236" s="2017" t="s">
        <v>1817</v>
      </c>
      <c r="B236" s="2017" t="s">
        <v>1592</v>
      </c>
      <c r="C236" s="2017" t="s">
        <v>1593</v>
      </c>
      <c r="D236" s="2017" t="s">
        <v>1594</v>
      </c>
      <c r="E236" s="2017" t="s">
        <v>1607</v>
      </c>
      <c r="F236" s="2017" t="s">
        <v>1646</v>
      </c>
      <c r="G236" s="2018">
        <v>7139365479</v>
      </c>
      <c r="H236" s="2024"/>
    </row>
    <row r="237" spans="1:8" ht="15.75" customHeight="1" x14ac:dyDescent="0.25">
      <c r="A237" s="2017" t="s">
        <v>1817</v>
      </c>
      <c r="B237" s="2017" t="s">
        <v>1592</v>
      </c>
      <c r="C237" s="2017" t="s">
        <v>1593</v>
      </c>
      <c r="D237" s="2017" t="s">
        <v>1594</v>
      </c>
      <c r="E237" s="2017" t="s">
        <v>1607</v>
      </c>
      <c r="F237" s="2017" t="s">
        <v>1734</v>
      </c>
      <c r="G237" s="2018">
        <v>144736020</v>
      </c>
      <c r="H237" s="2024"/>
    </row>
    <row r="238" spans="1:8" ht="15.75" customHeight="1" x14ac:dyDescent="0.25">
      <c r="A238" s="2017" t="s">
        <v>1817</v>
      </c>
      <c r="B238" s="2017" t="s">
        <v>1592</v>
      </c>
      <c r="C238" s="2017" t="s">
        <v>1593</v>
      </c>
      <c r="D238" s="2017" t="s">
        <v>1594</v>
      </c>
      <c r="E238" s="2017" t="s">
        <v>1607</v>
      </c>
      <c r="F238" s="2017" t="s">
        <v>1735</v>
      </c>
      <c r="G238" s="2018">
        <v>732888000</v>
      </c>
      <c r="H238" s="2024"/>
    </row>
    <row r="239" spans="1:8" ht="15.75" customHeight="1" x14ac:dyDescent="0.25">
      <c r="A239" s="2017" t="s">
        <v>1817</v>
      </c>
      <c r="B239" s="2017" t="s">
        <v>1592</v>
      </c>
      <c r="C239" s="2017" t="s">
        <v>1593</v>
      </c>
      <c r="D239" s="2017" t="s">
        <v>1594</v>
      </c>
      <c r="E239" s="2017" t="s">
        <v>1607</v>
      </c>
      <c r="F239" s="2017" t="s">
        <v>1608</v>
      </c>
      <c r="G239" s="2018">
        <v>371594492</v>
      </c>
      <c r="H239" s="2024"/>
    </row>
    <row r="240" spans="1:8" ht="15.75" customHeight="1" x14ac:dyDescent="0.25">
      <c r="A240" s="2017" t="s">
        <v>1817</v>
      </c>
      <c r="B240" s="2017" t="s">
        <v>1592</v>
      </c>
      <c r="C240" s="2017" t="s">
        <v>1593</v>
      </c>
      <c r="D240" s="2017" t="s">
        <v>1594</v>
      </c>
      <c r="E240" s="2017" t="s">
        <v>1607</v>
      </c>
      <c r="F240" s="2017" t="s">
        <v>1766</v>
      </c>
      <c r="G240" s="2018">
        <v>15912000</v>
      </c>
      <c r="H240" s="2024"/>
    </row>
    <row r="241" spans="1:8" ht="15.75" customHeight="1" x14ac:dyDescent="0.25">
      <c r="A241" s="2017" t="s">
        <v>1817</v>
      </c>
      <c r="B241" s="2017" t="s">
        <v>1592</v>
      </c>
      <c r="C241" s="2017" t="s">
        <v>1593</v>
      </c>
      <c r="D241" s="2017" t="s">
        <v>1594</v>
      </c>
      <c r="E241" s="2017" t="s">
        <v>1607</v>
      </c>
      <c r="F241" s="2017" t="s">
        <v>1736</v>
      </c>
      <c r="G241" s="2018">
        <v>3949878994</v>
      </c>
      <c r="H241" s="2024"/>
    </row>
    <row r="242" spans="1:8" ht="15.75" customHeight="1" x14ac:dyDescent="0.25">
      <c r="A242" s="2017" t="s">
        <v>1817</v>
      </c>
      <c r="B242" s="2017" t="s">
        <v>1592</v>
      </c>
      <c r="C242" s="2017" t="s">
        <v>1593</v>
      </c>
      <c r="D242" s="2017" t="s">
        <v>1594</v>
      </c>
      <c r="E242" s="2017" t="s">
        <v>1607</v>
      </c>
      <c r="F242" s="2017" t="s">
        <v>1737</v>
      </c>
      <c r="G242" s="2018">
        <v>16848000</v>
      </c>
      <c r="H242" s="2024"/>
    </row>
    <row r="243" spans="1:8" ht="15.75" customHeight="1" x14ac:dyDescent="0.25">
      <c r="A243" s="2017" t="s">
        <v>1817</v>
      </c>
      <c r="B243" s="2017" t="s">
        <v>1592</v>
      </c>
      <c r="C243" s="2017" t="s">
        <v>1593</v>
      </c>
      <c r="D243" s="2017" t="s">
        <v>1594</v>
      </c>
      <c r="E243" s="2017" t="s">
        <v>1607</v>
      </c>
      <c r="F243" s="2017" t="s">
        <v>1726</v>
      </c>
      <c r="G243" s="2018">
        <v>1907507973</v>
      </c>
      <c r="H243" s="2024"/>
    </row>
    <row r="244" spans="1:8" ht="15.75" customHeight="1" x14ac:dyDescent="0.25">
      <c r="A244" s="2017" t="s">
        <v>1817</v>
      </c>
      <c r="B244" s="2017" t="s">
        <v>1592</v>
      </c>
      <c r="C244" s="2017" t="s">
        <v>1593</v>
      </c>
      <c r="D244" s="2017" t="s">
        <v>1594</v>
      </c>
      <c r="E244" s="2017" t="s">
        <v>1692</v>
      </c>
      <c r="F244" s="2017" t="s">
        <v>1646</v>
      </c>
      <c r="G244" s="2018">
        <v>249294000</v>
      </c>
      <c r="H244" s="2024"/>
    </row>
    <row r="245" spans="1:8" ht="15.75" customHeight="1" x14ac:dyDescent="0.25">
      <c r="A245" s="2017" t="s">
        <v>1817</v>
      </c>
      <c r="B245" s="2017" t="s">
        <v>1592</v>
      </c>
      <c r="C245" s="2017" t="s">
        <v>1593</v>
      </c>
      <c r="D245" s="2017" t="s">
        <v>1594</v>
      </c>
      <c r="E245" s="2017" t="s">
        <v>1692</v>
      </c>
      <c r="F245" s="2017" t="s">
        <v>1739</v>
      </c>
      <c r="G245" s="2018">
        <v>67392000</v>
      </c>
      <c r="H245" s="2024"/>
    </row>
    <row r="246" spans="1:8" ht="15.75" customHeight="1" x14ac:dyDescent="0.25">
      <c r="A246" s="2017" t="s">
        <v>1817</v>
      </c>
      <c r="B246" s="2017" t="s">
        <v>1592</v>
      </c>
      <c r="C246" s="2017" t="s">
        <v>1593</v>
      </c>
      <c r="D246" s="2017" t="s">
        <v>1594</v>
      </c>
      <c r="E246" s="2017" t="s">
        <v>1692</v>
      </c>
      <c r="F246" s="2017" t="s">
        <v>1740</v>
      </c>
      <c r="G246" s="2018">
        <v>63750000</v>
      </c>
      <c r="H246" s="2024"/>
    </row>
    <row r="247" spans="1:8" ht="15.75" customHeight="1" x14ac:dyDescent="0.25">
      <c r="A247" s="2017" t="s">
        <v>1817</v>
      </c>
      <c r="B247" s="2017" t="s">
        <v>1592</v>
      </c>
      <c r="C247" s="2017" t="s">
        <v>1593</v>
      </c>
      <c r="D247" s="2017" t="s">
        <v>1594</v>
      </c>
      <c r="E247" s="2017" t="s">
        <v>1692</v>
      </c>
      <c r="F247" s="2017" t="s">
        <v>1693</v>
      </c>
      <c r="G247" s="2018">
        <v>118152000</v>
      </c>
      <c r="H247" s="2024"/>
    </row>
    <row r="248" spans="1:8" ht="15.75" customHeight="1" x14ac:dyDescent="0.25">
      <c r="A248" s="2017" t="s">
        <v>1817</v>
      </c>
      <c r="B248" s="2017" t="s">
        <v>1592</v>
      </c>
      <c r="C248" s="2017" t="s">
        <v>1593</v>
      </c>
      <c r="D248" s="2017" t="s">
        <v>1594</v>
      </c>
      <c r="E248" s="2017" t="s">
        <v>1741</v>
      </c>
      <c r="F248" s="2017" t="s">
        <v>1646</v>
      </c>
      <c r="G248" s="2018">
        <v>1025510000</v>
      </c>
      <c r="H248" s="2024"/>
    </row>
    <row r="249" spans="1:8" ht="15.75" customHeight="1" x14ac:dyDescent="0.25">
      <c r="A249" s="2017" t="s">
        <v>1817</v>
      </c>
      <c r="B249" s="2017" t="s">
        <v>1592</v>
      </c>
      <c r="C249" s="2017" t="s">
        <v>1593</v>
      </c>
      <c r="D249" s="2017" t="s">
        <v>1594</v>
      </c>
      <c r="E249" s="2017" t="s">
        <v>1741</v>
      </c>
      <c r="F249" s="2017" t="s">
        <v>1742</v>
      </c>
      <c r="G249" s="2018">
        <v>1023610000</v>
      </c>
      <c r="H249" s="2024"/>
    </row>
    <row r="250" spans="1:8" ht="15.75" customHeight="1" x14ac:dyDescent="0.25">
      <c r="A250" s="2017" t="s">
        <v>1817</v>
      </c>
      <c r="B250" s="2017" t="s">
        <v>1592</v>
      </c>
      <c r="C250" s="2017" t="s">
        <v>1593</v>
      </c>
      <c r="D250" s="2017" t="s">
        <v>1594</v>
      </c>
      <c r="E250" s="2017" t="s">
        <v>1741</v>
      </c>
      <c r="F250" s="2017" t="s">
        <v>1783</v>
      </c>
      <c r="G250" s="2018">
        <v>1900000</v>
      </c>
      <c r="H250" s="2024"/>
    </row>
    <row r="251" spans="1:8" ht="15.75" customHeight="1" x14ac:dyDescent="0.25">
      <c r="A251" s="2017" t="s">
        <v>1817</v>
      </c>
      <c r="B251" s="2017" t="s">
        <v>1592</v>
      </c>
      <c r="C251" s="2017" t="s">
        <v>1593</v>
      </c>
      <c r="D251" s="2017" t="s">
        <v>1594</v>
      </c>
      <c r="E251" s="2017" t="s">
        <v>1784</v>
      </c>
      <c r="F251" s="2017" t="s">
        <v>1646</v>
      </c>
      <c r="G251" s="2018">
        <v>109400000</v>
      </c>
      <c r="H251" s="2024"/>
    </row>
    <row r="252" spans="1:8" ht="15.75" customHeight="1" x14ac:dyDescent="0.25">
      <c r="A252" s="2017" t="s">
        <v>1817</v>
      </c>
      <c r="B252" s="2017" t="s">
        <v>1592</v>
      </c>
      <c r="C252" s="2017" t="s">
        <v>1593</v>
      </c>
      <c r="D252" s="2017" t="s">
        <v>1594</v>
      </c>
      <c r="E252" s="2017" t="s">
        <v>1784</v>
      </c>
      <c r="F252" s="2017" t="s">
        <v>1785</v>
      </c>
      <c r="G252" s="2018">
        <v>109400000</v>
      </c>
      <c r="H252" s="2024"/>
    </row>
    <row r="253" spans="1:8" ht="15.75" customHeight="1" x14ac:dyDescent="0.25">
      <c r="A253" s="2017" t="s">
        <v>1817</v>
      </c>
      <c r="B253" s="2017" t="s">
        <v>1592</v>
      </c>
      <c r="C253" s="2017" t="s">
        <v>1593</v>
      </c>
      <c r="D253" s="2017" t="s">
        <v>1594</v>
      </c>
      <c r="E253" s="2017" t="s">
        <v>1743</v>
      </c>
      <c r="F253" s="2017" t="s">
        <v>1646</v>
      </c>
      <c r="G253" s="2018">
        <v>2803004029</v>
      </c>
      <c r="H253" s="2024"/>
    </row>
    <row r="254" spans="1:8" ht="15.75" customHeight="1" x14ac:dyDescent="0.25">
      <c r="A254" s="2017" t="s">
        <v>1817</v>
      </c>
      <c r="B254" s="2017" t="s">
        <v>1592</v>
      </c>
      <c r="C254" s="2017" t="s">
        <v>1593</v>
      </c>
      <c r="D254" s="2017" t="s">
        <v>1594</v>
      </c>
      <c r="E254" s="2017" t="s">
        <v>1743</v>
      </c>
      <c r="F254" s="2017" t="s">
        <v>1744</v>
      </c>
      <c r="G254" s="2018">
        <v>2196192048</v>
      </c>
      <c r="H254" s="2024"/>
    </row>
    <row r="255" spans="1:8" ht="15.75" customHeight="1" x14ac:dyDescent="0.25">
      <c r="A255" s="2017" t="s">
        <v>1817</v>
      </c>
      <c r="B255" s="2017" t="s">
        <v>1592</v>
      </c>
      <c r="C255" s="2017" t="s">
        <v>1593</v>
      </c>
      <c r="D255" s="2017" t="s">
        <v>1594</v>
      </c>
      <c r="E255" s="2017" t="s">
        <v>1743</v>
      </c>
      <c r="F255" s="2017" t="s">
        <v>1745</v>
      </c>
      <c r="G255" s="2018">
        <v>377475236</v>
      </c>
      <c r="H255" s="2024"/>
    </row>
    <row r="256" spans="1:8" ht="15.75" customHeight="1" x14ac:dyDescent="0.25">
      <c r="A256" s="2017" t="s">
        <v>1817</v>
      </c>
      <c r="B256" s="2017" t="s">
        <v>1592</v>
      </c>
      <c r="C256" s="2017" t="s">
        <v>1593</v>
      </c>
      <c r="D256" s="2017" t="s">
        <v>1594</v>
      </c>
      <c r="E256" s="2017" t="s">
        <v>1743</v>
      </c>
      <c r="F256" s="2017" t="s">
        <v>1746</v>
      </c>
      <c r="G256" s="2018">
        <v>103511671</v>
      </c>
      <c r="H256" s="2024"/>
    </row>
    <row r="257" spans="1:8" ht="15.75" customHeight="1" x14ac:dyDescent="0.25">
      <c r="A257" s="2017" t="s">
        <v>1817</v>
      </c>
      <c r="B257" s="2017" t="s">
        <v>1592</v>
      </c>
      <c r="C257" s="2017" t="s">
        <v>1593</v>
      </c>
      <c r="D257" s="2017" t="s">
        <v>1594</v>
      </c>
      <c r="E257" s="2017" t="s">
        <v>1743</v>
      </c>
      <c r="F257" s="2017" t="s">
        <v>1747</v>
      </c>
      <c r="G257" s="2018">
        <v>125825074</v>
      </c>
      <c r="H257" s="2024"/>
    </row>
    <row r="258" spans="1:8" ht="15.75" customHeight="1" x14ac:dyDescent="0.25">
      <c r="A258" s="2017" t="s">
        <v>1817</v>
      </c>
      <c r="B258" s="2017" t="s">
        <v>1592</v>
      </c>
      <c r="C258" s="2017" t="s">
        <v>1593</v>
      </c>
      <c r="D258" s="2017" t="s">
        <v>1594</v>
      </c>
      <c r="E258" s="2017" t="s">
        <v>1748</v>
      </c>
      <c r="F258" s="2017" t="s">
        <v>1646</v>
      </c>
      <c r="G258" s="2018">
        <v>806352679</v>
      </c>
      <c r="H258" s="2024"/>
    </row>
    <row r="259" spans="1:8" ht="15.75" customHeight="1" x14ac:dyDescent="0.25">
      <c r="A259" s="2017" t="s">
        <v>1817</v>
      </c>
      <c r="B259" s="2017" t="s">
        <v>1592</v>
      </c>
      <c r="C259" s="2017" t="s">
        <v>1593</v>
      </c>
      <c r="D259" s="2017" t="s">
        <v>1594</v>
      </c>
      <c r="E259" s="2017" t="s">
        <v>1748</v>
      </c>
      <c r="F259" s="2017" t="s">
        <v>1749</v>
      </c>
      <c r="G259" s="2018">
        <v>177448000</v>
      </c>
      <c r="H259" s="2024"/>
    </row>
    <row r="260" spans="1:8" ht="15.75" customHeight="1" x14ac:dyDescent="0.25">
      <c r="A260" s="2017" t="s">
        <v>1817</v>
      </c>
      <c r="B260" s="2017" t="s">
        <v>1592</v>
      </c>
      <c r="C260" s="2017" t="s">
        <v>1593</v>
      </c>
      <c r="D260" s="2017" t="s">
        <v>1594</v>
      </c>
      <c r="E260" s="2017" t="s">
        <v>1748</v>
      </c>
      <c r="F260" s="2017" t="s">
        <v>1767</v>
      </c>
      <c r="G260" s="2018">
        <v>628904679</v>
      </c>
      <c r="H260" s="2024"/>
    </row>
    <row r="261" spans="1:8" ht="15.75" customHeight="1" x14ac:dyDescent="0.25">
      <c r="A261" s="2017" t="s">
        <v>1817</v>
      </c>
      <c r="B261" s="2017" t="s">
        <v>1592</v>
      </c>
      <c r="C261" s="2017" t="s">
        <v>1593</v>
      </c>
      <c r="D261" s="2017" t="s">
        <v>1594</v>
      </c>
      <c r="E261" s="2017" t="s">
        <v>1751</v>
      </c>
      <c r="F261" s="2017" t="s">
        <v>1646</v>
      </c>
      <c r="G261" s="2018">
        <v>81669731</v>
      </c>
      <c r="H261" s="2024"/>
    </row>
    <row r="262" spans="1:8" ht="15.75" customHeight="1" x14ac:dyDescent="0.25">
      <c r="A262" s="2017" t="s">
        <v>1817</v>
      </c>
      <c r="B262" s="2017" t="s">
        <v>1592</v>
      </c>
      <c r="C262" s="2017" t="s">
        <v>1593</v>
      </c>
      <c r="D262" s="2017" t="s">
        <v>1594</v>
      </c>
      <c r="E262" s="2017" t="s">
        <v>1751</v>
      </c>
      <c r="F262" s="2017" t="s">
        <v>1752</v>
      </c>
      <c r="G262" s="2018">
        <v>72386631</v>
      </c>
      <c r="H262" s="2024"/>
    </row>
    <row r="263" spans="1:8" ht="15.75" customHeight="1" x14ac:dyDescent="0.25">
      <c r="A263" s="2017" t="s">
        <v>1817</v>
      </c>
      <c r="B263" s="2017" t="s">
        <v>1592</v>
      </c>
      <c r="C263" s="2017" t="s">
        <v>1593</v>
      </c>
      <c r="D263" s="2017" t="s">
        <v>1594</v>
      </c>
      <c r="E263" s="2017" t="s">
        <v>1751</v>
      </c>
      <c r="F263" s="2017" t="s">
        <v>1818</v>
      </c>
      <c r="G263" s="2018">
        <v>240300</v>
      </c>
      <c r="H263" s="2024"/>
    </row>
    <row r="264" spans="1:8" ht="15.75" customHeight="1" x14ac:dyDescent="0.25">
      <c r="A264" s="2017" t="s">
        <v>1817</v>
      </c>
      <c r="B264" s="2017" t="s">
        <v>1592</v>
      </c>
      <c r="C264" s="2017" t="s">
        <v>1593</v>
      </c>
      <c r="D264" s="2017" t="s">
        <v>1594</v>
      </c>
      <c r="E264" s="2017" t="s">
        <v>1751</v>
      </c>
      <c r="F264" s="2017" t="s">
        <v>1787</v>
      </c>
      <c r="G264" s="2018">
        <v>432800</v>
      </c>
      <c r="H264" s="2024"/>
    </row>
    <row r="265" spans="1:8" ht="15.75" customHeight="1" x14ac:dyDescent="0.25">
      <c r="A265" s="2017" t="s">
        <v>1817</v>
      </c>
      <c r="B265" s="2017" t="s">
        <v>1592</v>
      </c>
      <c r="C265" s="2017" t="s">
        <v>1593</v>
      </c>
      <c r="D265" s="2017" t="s">
        <v>1594</v>
      </c>
      <c r="E265" s="2017" t="s">
        <v>1751</v>
      </c>
      <c r="F265" s="2017" t="s">
        <v>1819</v>
      </c>
      <c r="G265" s="2018">
        <v>8610000</v>
      </c>
      <c r="H265" s="2024"/>
    </row>
    <row r="266" spans="1:8" ht="15.75" customHeight="1" x14ac:dyDescent="0.25">
      <c r="A266" s="2017" t="s">
        <v>1817</v>
      </c>
      <c r="B266" s="2017" t="s">
        <v>1592</v>
      </c>
      <c r="C266" s="2017" t="s">
        <v>1593</v>
      </c>
      <c r="D266" s="2017" t="s">
        <v>1594</v>
      </c>
      <c r="E266" s="2017" t="s">
        <v>1623</v>
      </c>
      <c r="F266" s="2017" t="s">
        <v>1646</v>
      </c>
      <c r="G266" s="2018">
        <v>1341966284</v>
      </c>
      <c r="H266" s="2024"/>
    </row>
    <row r="267" spans="1:8" ht="15.75" customHeight="1" x14ac:dyDescent="0.25">
      <c r="A267" s="2017" t="s">
        <v>1817</v>
      </c>
      <c r="B267" s="2017" t="s">
        <v>1592</v>
      </c>
      <c r="C267" s="2017" t="s">
        <v>1593</v>
      </c>
      <c r="D267" s="2017" t="s">
        <v>1594</v>
      </c>
      <c r="E267" s="2017" t="s">
        <v>1623</v>
      </c>
      <c r="F267" s="2017" t="s">
        <v>1624</v>
      </c>
      <c r="G267" s="2018">
        <v>9999000</v>
      </c>
      <c r="H267" s="2024"/>
    </row>
    <row r="268" spans="1:8" ht="15.75" customHeight="1" x14ac:dyDescent="0.25">
      <c r="A268" s="2017" t="s">
        <v>1817</v>
      </c>
      <c r="B268" s="2017" t="s">
        <v>1592</v>
      </c>
      <c r="C268" s="2017" t="s">
        <v>1593</v>
      </c>
      <c r="D268" s="2017" t="s">
        <v>1594</v>
      </c>
      <c r="E268" s="2017" t="s">
        <v>1623</v>
      </c>
      <c r="F268" s="2017" t="s">
        <v>1639</v>
      </c>
      <c r="G268" s="2018">
        <v>1240796000</v>
      </c>
      <c r="H268" s="2024"/>
    </row>
    <row r="269" spans="1:8" ht="15.75" customHeight="1" x14ac:dyDescent="0.25">
      <c r="A269" s="2017" t="s">
        <v>1817</v>
      </c>
      <c r="B269" s="2017" t="s">
        <v>1592</v>
      </c>
      <c r="C269" s="2017" t="s">
        <v>1593</v>
      </c>
      <c r="D269" s="2017" t="s">
        <v>1594</v>
      </c>
      <c r="E269" s="2017" t="s">
        <v>1623</v>
      </c>
      <c r="F269" s="2017" t="s">
        <v>1820</v>
      </c>
      <c r="G269" s="2018">
        <v>23300000</v>
      </c>
      <c r="H269" s="2024"/>
    </row>
    <row r="270" spans="1:8" ht="15.75" customHeight="1" x14ac:dyDescent="0.25">
      <c r="A270" s="2017" t="s">
        <v>1817</v>
      </c>
      <c r="B270" s="2017" t="s">
        <v>1592</v>
      </c>
      <c r="C270" s="2017" t="s">
        <v>1593</v>
      </c>
      <c r="D270" s="2017" t="s">
        <v>1594</v>
      </c>
      <c r="E270" s="2017" t="s">
        <v>1623</v>
      </c>
      <c r="F270" s="2017" t="s">
        <v>1634</v>
      </c>
      <c r="G270" s="2018">
        <v>67871284</v>
      </c>
      <c r="H270" s="2024"/>
    </row>
    <row r="271" spans="1:8" ht="15.75" customHeight="1" x14ac:dyDescent="0.25">
      <c r="A271" s="2017" t="s">
        <v>1817</v>
      </c>
      <c r="B271" s="2017" t="s">
        <v>1592</v>
      </c>
      <c r="C271" s="2017" t="s">
        <v>1593</v>
      </c>
      <c r="D271" s="2017" t="s">
        <v>1594</v>
      </c>
      <c r="E271" s="2017" t="s">
        <v>1652</v>
      </c>
      <c r="F271" s="2017" t="s">
        <v>1646</v>
      </c>
      <c r="G271" s="2018">
        <v>38610069</v>
      </c>
      <c r="H271" s="2024"/>
    </row>
    <row r="272" spans="1:8" ht="15.75" customHeight="1" x14ac:dyDescent="0.25">
      <c r="A272" s="2017" t="s">
        <v>1817</v>
      </c>
      <c r="B272" s="2017" t="s">
        <v>1592</v>
      </c>
      <c r="C272" s="2017" t="s">
        <v>1593</v>
      </c>
      <c r="D272" s="2017" t="s">
        <v>1594</v>
      </c>
      <c r="E272" s="2017" t="s">
        <v>1652</v>
      </c>
      <c r="F272" s="2017" t="s">
        <v>1754</v>
      </c>
      <c r="G272" s="2018">
        <v>2064000</v>
      </c>
      <c r="H272" s="2024"/>
    </row>
    <row r="273" spans="1:8" ht="15.75" customHeight="1" x14ac:dyDescent="0.25">
      <c r="A273" s="2017" t="s">
        <v>1817</v>
      </c>
      <c r="B273" s="2017" t="s">
        <v>1592</v>
      </c>
      <c r="C273" s="2017" t="s">
        <v>1593</v>
      </c>
      <c r="D273" s="2017" t="s">
        <v>1594</v>
      </c>
      <c r="E273" s="2017" t="s">
        <v>1652</v>
      </c>
      <c r="F273" s="2017" t="s">
        <v>1755</v>
      </c>
      <c r="G273" s="2018">
        <v>35185269</v>
      </c>
      <c r="H273" s="2024"/>
    </row>
    <row r="274" spans="1:8" ht="15.75" customHeight="1" x14ac:dyDescent="0.25">
      <c r="A274" s="2017" t="s">
        <v>1817</v>
      </c>
      <c r="B274" s="2017" t="s">
        <v>1592</v>
      </c>
      <c r="C274" s="2017" t="s">
        <v>1593</v>
      </c>
      <c r="D274" s="2017" t="s">
        <v>1594</v>
      </c>
      <c r="E274" s="2017" t="s">
        <v>1652</v>
      </c>
      <c r="F274" s="2017" t="s">
        <v>1800</v>
      </c>
      <c r="G274" s="2018">
        <v>1360800</v>
      </c>
      <c r="H274" s="2024"/>
    </row>
    <row r="275" spans="1:8" ht="15.75" customHeight="1" x14ac:dyDescent="0.25">
      <c r="A275" s="2017" t="s">
        <v>1817</v>
      </c>
      <c r="B275" s="2017" t="s">
        <v>1592</v>
      </c>
      <c r="C275" s="2017" t="s">
        <v>1593</v>
      </c>
      <c r="D275" s="2017" t="s">
        <v>1594</v>
      </c>
      <c r="E275" s="2017" t="s">
        <v>1609</v>
      </c>
      <c r="F275" s="2017" t="s">
        <v>1646</v>
      </c>
      <c r="G275" s="2018">
        <v>27961037</v>
      </c>
      <c r="H275" s="2024"/>
    </row>
    <row r="276" spans="1:8" ht="15.75" customHeight="1" x14ac:dyDescent="0.25">
      <c r="A276" s="2017" t="s">
        <v>1817</v>
      </c>
      <c r="B276" s="2017" t="s">
        <v>1592</v>
      </c>
      <c r="C276" s="2017" t="s">
        <v>1593</v>
      </c>
      <c r="D276" s="2017" t="s">
        <v>1594</v>
      </c>
      <c r="E276" s="2017" t="s">
        <v>1609</v>
      </c>
      <c r="F276" s="2017" t="s">
        <v>1610</v>
      </c>
      <c r="G276" s="2018">
        <v>6270823</v>
      </c>
      <c r="H276" s="2024"/>
    </row>
    <row r="277" spans="1:8" ht="15.75" customHeight="1" x14ac:dyDescent="0.25">
      <c r="A277" s="2017" t="s">
        <v>1817</v>
      </c>
      <c r="B277" s="2017" t="s">
        <v>1592</v>
      </c>
      <c r="C277" s="2017" t="s">
        <v>1593</v>
      </c>
      <c r="D277" s="2017" t="s">
        <v>1594</v>
      </c>
      <c r="E277" s="2017" t="s">
        <v>1609</v>
      </c>
      <c r="F277" s="2017" t="s">
        <v>1611</v>
      </c>
      <c r="G277" s="2018">
        <v>12780000</v>
      </c>
      <c r="H277" s="2024"/>
    </row>
    <row r="278" spans="1:8" ht="15.75" customHeight="1" x14ac:dyDescent="0.25">
      <c r="A278" s="2017" t="s">
        <v>1817</v>
      </c>
      <c r="B278" s="2017" t="s">
        <v>1592</v>
      </c>
      <c r="C278" s="2017" t="s">
        <v>1593</v>
      </c>
      <c r="D278" s="2017" t="s">
        <v>1594</v>
      </c>
      <c r="E278" s="2017" t="s">
        <v>1609</v>
      </c>
      <c r="F278" s="2017" t="s">
        <v>1612</v>
      </c>
      <c r="G278" s="2018">
        <v>8910214</v>
      </c>
      <c r="H278" s="2024"/>
    </row>
    <row r="279" spans="1:8" ht="15.75" customHeight="1" x14ac:dyDescent="0.25">
      <c r="A279" s="2017" t="s">
        <v>1817</v>
      </c>
      <c r="B279" s="2017" t="s">
        <v>1592</v>
      </c>
      <c r="C279" s="2017" t="s">
        <v>1593</v>
      </c>
      <c r="D279" s="2017" t="s">
        <v>1594</v>
      </c>
      <c r="E279" s="2017" t="s">
        <v>1660</v>
      </c>
      <c r="F279" s="2017" t="s">
        <v>1646</v>
      </c>
      <c r="G279" s="2018">
        <v>85078000</v>
      </c>
      <c r="H279" s="2024"/>
    </row>
    <row r="280" spans="1:8" ht="15.75" customHeight="1" x14ac:dyDescent="0.25">
      <c r="A280" s="2017" t="s">
        <v>1817</v>
      </c>
      <c r="B280" s="2017" t="s">
        <v>1592</v>
      </c>
      <c r="C280" s="2017" t="s">
        <v>1593</v>
      </c>
      <c r="D280" s="2017" t="s">
        <v>1594</v>
      </c>
      <c r="E280" s="2017" t="s">
        <v>1660</v>
      </c>
      <c r="F280" s="2017" t="s">
        <v>1756</v>
      </c>
      <c r="G280" s="2018">
        <v>6678000</v>
      </c>
      <c r="H280" s="2024"/>
    </row>
    <row r="281" spans="1:8" ht="15.75" customHeight="1" x14ac:dyDescent="0.25">
      <c r="A281" s="2017" t="s">
        <v>1817</v>
      </c>
      <c r="B281" s="2017" t="s">
        <v>1592</v>
      </c>
      <c r="C281" s="2017" t="s">
        <v>1593</v>
      </c>
      <c r="D281" s="2017" t="s">
        <v>1594</v>
      </c>
      <c r="E281" s="2017" t="s">
        <v>1660</v>
      </c>
      <c r="F281" s="2017" t="s">
        <v>1661</v>
      </c>
      <c r="G281" s="2018">
        <v>19000000</v>
      </c>
      <c r="H281" s="2024"/>
    </row>
    <row r="282" spans="1:8" ht="15.75" customHeight="1" x14ac:dyDescent="0.25">
      <c r="A282" s="2017" t="s">
        <v>1817</v>
      </c>
      <c r="B282" s="2017" t="s">
        <v>1592</v>
      </c>
      <c r="C282" s="2017" t="s">
        <v>1593</v>
      </c>
      <c r="D282" s="2017" t="s">
        <v>1594</v>
      </c>
      <c r="E282" s="2017" t="s">
        <v>1660</v>
      </c>
      <c r="F282" s="2017" t="s">
        <v>1662</v>
      </c>
      <c r="G282" s="2018">
        <v>18000000</v>
      </c>
      <c r="H282" s="2024"/>
    </row>
    <row r="283" spans="1:8" ht="15.75" customHeight="1" x14ac:dyDescent="0.25">
      <c r="A283" s="2017" t="s">
        <v>1817</v>
      </c>
      <c r="B283" s="2017" t="s">
        <v>1592</v>
      </c>
      <c r="C283" s="2017" t="s">
        <v>1593</v>
      </c>
      <c r="D283" s="2017" t="s">
        <v>1594</v>
      </c>
      <c r="E283" s="2017" t="s">
        <v>1660</v>
      </c>
      <c r="F283" s="2017" t="s">
        <v>1768</v>
      </c>
      <c r="G283" s="2018">
        <v>41400000</v>
      </c>
      <c r="H283" s="2024"/>
    </row>
    <row r="284" spans="1:8" ht="15.75" customHeight="1" x14ac:dyDescent="0.25">
      <c r="A284" s="2017" t="s">
        <v>1817</v>
      </c>
      <c r="B284" s="2017" t="s">
        <v>1592</v>
      </c>
      <c r="C284" s="2017" t="s">
        <v>1593</v>
      </c>
      <c r="D284" s="2017" t="s">
        <v>1594</v>
      </c>
      <c r="E284" s="2017" t="s">
        <v>1654</v>
      </c>
      <c r="F284" s="2017" t="s">
        <v>1646</v>
      </c>
      <c r="G284" s="2018">
        <v>180590000</v>
      </c>
      <c r="H284" s="2024"/>
    </row>
    <row r="285" spans="1:8" ht="15.75" customHeight="1" x14ac:dyDescent="0.25">
      <c r="A285" s="2017" t="s">
        <v>1817</v>
      </c>
      <c r="B285" s="2017" t="s">
        <v>1592</v>
      </c>
      <c r="C285" s="2017" t="s">
        <v>1593</v>
      </c>
      <c r="D285" s="2017" t="s">
        <v>1594</v>
      </c>
      <c r="E285" s="2017" t="s">
        <v>1654</v>
      </c>
      <c r="F285" s="2017" t="s">
        <v>1757</v>
      </c>
      <c r="G285" s="2018">
        <v>153500000</v>
      </c>
      <c r="H285" s="2024"/>
    </row>
    <row r="286" spans="1:8" ht="15.75" customHeight="1" x14ac:dyDescent="0.25">
      <c r="A286" s="2017" t="s">
        <v>1817</v>
      </c>
      <c r="B286" s="2017" t="s">
        <v>1592</v>
      </c>
      <c r="C286" s="2017" t="s">
        <v>1593</v>
      </c>
      <c r="D286" s="2017" t="s">
        <v>1594</v>
      </c>
      <c r="E286" s="2017" t="s">
        <v>1654</v>
      </c>
      <c r="F286" s="2017" t="s">
        <v>1655</v>
      </c>
      <c r="G286" s="2018">
        <v>27090000</v>
      </c>
      <c r="H286" s="2024"/>
    </row>
    <row r="287" spans="1:8" ht="15.75" customHeight="1" x14ac:dyDescent="0.25">
      <c r="A287" s="2017" t="s">
        <v>1817</v>
      </c>
      <c r="B287" s="2017" t="s">
        <v>1592</v>
      </c>
      <c r="C287" s="2017" t="s">
        <v>1593</v>
      </c>
      <c r="D287" s="2017" t="s">
        <v>1594</v>
      </c>
      <c r="E287" s="2017" t="s">
        <v>1602</v>
      </c>
      <c r="F287" s="2017" t="s">
        <v>1646</v>
      </c>
      <c r="G287" s="2018">
        <v>137481940</v>
      </c>
      <c r="H287" s="2024"/>
    </row>
    <row r="288" spans="1:8" ht="15.75" customHeight="1" x14ac:dyDescent="0.25">
      <c r="A288" s="2017" t="s">
        <v>1817</v>
      </c>
      <c r="B288" s="2017" t="s">
        <v>1592</v>
      </c>
      <c r="C288" s="2017" t="s">
        <v>1593</v>
      </c>
      <c r="D288" s="2017" t="s">
        <v>1594</v>
      </c>
      <c r="E288" s="2017" t="s">
        <v>1602</v>
      </c>
      <c r="F288" s="2017" t="s">
        <v>1758</v>
      </c>
      <c r="G288" s="2018">
        <v>2235600</v>
      </c>
      <c r="H288" s="2024"/>
    </row>
    <row r="289" spans="1:8" ht="15.75" customHeight="1" x14ac:dyDescent="0.25">
      <c r="A289" s="2017" t="s">
        <v>1817</v>
      </c>
      <c r="B289" s="2017" t="s">
        <v>1592</v>
      </c>
      <c r="C289" s="2017" t="s">
        <v>1593</v>
      </c>
      <c r="D289" s="2017" t="s">
        <v>1594</v>
      </c>
      <c r="E289" s="2017" t="s">
        <v>1602</v>
      </c>
      <c r="F289" s="2017" t="s">
        <v>1680</v>
      </c>
      <c r="G289" s="2018">
        <v>40676840</v>
      </c>
      <c r="H289" s="2024"/>
    </row>
    <row r="290" spans="1:8" ht="15.75" customHeight="1" x14ac:dyDescent="0.25">
      <c r="A290" s="2017" t="s">
        <v>1817</v>
      </c>
      <c r="B290" s="2017" t="s">
        <v>1592</v>
      </c>
      <c r="C290" s="2017" t="s">
        <v>1593</v>
      </c>
      <c r="D290" s="2017" t="s">
        <v>1594</v>
      </c>
      <c r="E290" s="2017" t="s">
        <v>1602</v>
      </c>
      <c r="F290" s="2017" t="s">
        <v>1759</v>
      </c>
      <c r="G290" s="2018">
        <v>1497000</v>
      </c>
      <c r="H290" s="2024"/>
    </row>
    <row r="291" spans="1:8" ht="15.75" customHeight="1" x14ac:dyDescent="0.25">
      <c r="A291" s="2017" t="s">
        <v>1817</v>
      </c>
      <c r="B291" s="2017" t="s">
        <v>1592</v>
      </c>
      <c r="C291" s="2017" t="s">
        <v>1593</v>
      </c>
      <c r="D291" s="2017" t="s">
        <v>1594</v>
      </c>
      <c r="E291" s="2017" t="s">
        <v>1602</v>
      </c>
      <c r="F291" s="2017" t="s">
        <v>1760</v>
      </c>
      <c r="G291" s="2018">
        <v>28858500</v>
      </c>
      <c r="H291" s="2024"/>
    </row>
    <row r="292" spans="1:8" ht="15.75" customHeight="1" x14ac:dyDescent="0.25">
      <c r="A292" s="2017" t="s">
        <v>1817</v>
      </c>
      <c r="B292" s="2017" t="s">
        <v>1592</v>
      </c>
      <c r="C292" s="2017" t="s">
        <v>1593</v>
      </c>
      <c r="D292" s="2017" t="s">
        <v>1594</v>
      </c>
      <c r="E292" s="2017" t="s">
        <v>1602</v>
      </c>
      <c r="F292" s="2017" t="s">
        <v>1761</v>
      </c>
      <c r="G292" s="2018">
        <v>64214000</v>
      </c>
      <c r="H292" s="2024"/>
    </row>
    <row r="293" spans="1:8" ht="15.75" customHeight="1" x14ac:dyDescent="0.25">
      <c r="A293" s="2017" t="s">
        <v>1817</v>
      </c>
      <c r="B293" s="2017" t="s">
        <v>1592</v>
      </c>
      <c r="C293" s="2017" t="s">
        <v>1593</v>
      </c>
      <c r="D293" s="2017" t="s">
        <v>1594</v>
      </c>
      <c r="E293" s="2017" t="s">
        <v>1630</v>
      </c>
      <c r="F293" s="2017" t="s">
        <v>1646</v>
      </c>
      <c r="G293" s="2018">
        <v>2492418000</v>
      </c>
      <c r="H293" s="2024"/>
    </row>
    <row r="294" spans="1:8" ht="15.75" customHeight="1" x14ac:dyDescent="0.25">
      <c r="A294" s="2017" t="s">
        <v>1817</v>
      </c>
      <c r="B294" s="2017" t="s">
        <v>1592</v>
      </c>
      <c r="C294" s="2017" t="s">
        <v>1593</v>
      </c>
      <c r="D294" s="2017" t="s">
        <v>1594</v>
      </c>
      <c r="E294" s="2017" t="s">
        <v>1630</v>
      </c>
      <c r="F294" s="2017" t="s">
        <v>1769</v>
      </c>
      <c r="G294" s="2018">
        <v>1291850000</v>
      </c>
      <c r="H294" s="2024"/>
    </row>
    <row r="295" spans="1:8" ht="15.75" customHeight="1" x14ac:dyDescent="0.25">
      <c r="A295" s="2017" t="s">
        <v>1817</v>
      </c>
      <c r="B295" s="2017" t="s">
        <v>1592</v>
      </c>
      <c r="C295" s="2017" t="s">
        <v>1593</v>
      </c>
      <c r="D295" s="2017" t="s">
        <v>1594</v>
      </c>
      <c r="E295" s="2017" t="s">
        <v>1630</v>
      </c>
      <c r="F295" s="2017" t="s">
        <v>1631</v>
      </c>
      <c r="G295" s="2018">
        <v>157680000</v>
      </c>
      <c r="H295" s="2024"/>
    </row>
    <row r="296" spans="1:8" ht="15.75" customHeight="1" x14ac:dyDescent="0.25">
      <c r="A296" s="2017" t="s">
        <v>1817</v>
      </c>
      <c r="B296" s="2017" t="s">
        <v>1592</v>
      </c>
      <c r="C296" s="2017" t="s">
        <v>1593</v>
      </c>
      <c r="D296" s="2017" t="s">
        <v>1594</v>
      </c>
      <c r="E296" s="2017" t="s">
        <v>1630</v>
      </c>
      <c r="F296" s="2017" t="s">
        <v>1640</v>
      </c>
      <c r="G296" s="2018">
        <v>1042888000</v>
      </c>
      <c r="H296" s="2024"/>
    </row>
    <row r="297" spans="1:8" ht="15.75" customHeight="1" x14ac:dyDescent="0.25">
      <c r="A297" s="2017" t="s">
        <v>1817</v>
      </c>
      <c r="B297" s="2017" t="s">
        <v>1592</v>
      </c>
      <c r="C297" s="2017" t="s">
        <v>1593</v>
      </c>
      <c r="D297" s="2017" t="s">
        <v>1594</v>
      </c>
      <c r="E297" s="2017" t="s">
        <v>1618</v>
      </c>
      <c r="F297" s="2017" t="s">
        <v>1646</v>
      </c>
      <c r="G297" s="2018">
        <v>1985306868</v>
      </c>
      <c r="H297" s="2024"/>
    </row>
    <row r="298" spans="1:8" ht="15.75" customHeight="1" x14ac:dyDescent="0.25">
      <c r="A298" s="2017" t="s">
        <v>1817</v>
      </c>
      <c r="B298" s="2017" t="s">
        <v>1592</v>
      </c>
      <c r="C298" s="2017" t="s">
        <v>1593</v>
      </c>
      <c r="D298" s="2017" t="s">
        <v>1594</v>
      </c>
      <c r="E298" s="2017" t="s">
        <v>1618</v>
      </c>
      <c r="F298" s="2017" t="s">
        <v>1619</v>
      </c>
      <c r="G298" s="2018">
        <v>1391853234</v>
      </c>
      <c r="H298" s="2024"/>
    </row>
    <row r="299" spans="1:8" ht="15.75" customHeight="1" x14ac:dyDescent="0.25">
      <c r="A299" s="2017" t="s">
        <v>1817</v>
      </c>
      <c r="B299" s="2017" t="s">
        <v>1592</v>
      </c>
      <c r="C299" s="2017" t="s">
        <v>1593</v>
      </c>
      <c r="D299" s="2017" t="s">
        <v>1594</v>
      </c>
      <c r="E299" s="2017" t="s">
        <v>1618</v>
      </c>
      <c r="F299" s="2017" t="s">
        <v>1762</v>
      </c>
      <c r="G299" s="2018">
        <v>7850000</v>
      </c>
      <c r="H299" s="2024"/>
    </row>
    <row r="300" spans="1:8" ht="15.75" customHeight="1" x14ac:dyDescent="0.25">
      <c r="A300" s="2017" t="s">
        <v>1817</v>
      </c>
      <c r="B300" s="2017" t="s">
        <v>1592</v>
      </c>
      <c r="C300" s="2017" t="s">
        <v>1593</v>
      </c>
      <c r="D300" s="2017" t="s">
        <v>1594</v>
      </c>
      <c r="E300" s="2017" t="s">
        <v>1618</v>
      </c>
      <c r="F300" s="2017" t="s">
        <v>1622</v>
      </c>
      <c r="G300" s="2018">
        <v>585603634</v>
      </c>
      <c r="H300" s="2024"/>
    </row>
    <row r="301" spans="1:8" ht="15.75" customHeight="1" x14ac:dyDescent="0.25">
      <c r="A301" s="2017" t="s">
        <v>1817</v>
      </c>
      <c r="B301" s="2017" t="s">
        <v>1592</v>
      </c>
      <c r="C301" s="2017" t="s">
        <v>1593</v>
      </c>
      <c r="D301" s="2017" t="s">
        <v>1594</v>
      </c>
      <c r="E301" s="2017" t="s">
        <v>1615</v>
      </c>
      <c r="F301" s="2017" t="s">
        <v>1646</v>
      </c>
      <c r="G301" s="2018">
        <v>2082618500</v>
      </c>
      <c r="H301" s="2024"/>
    </row>
    <row r="302" spans="1:8" ht="15.75" customHeight="1" x14ac:dyDescent="0.25">
      <c r="A302" s="2017" t="s">
        <v>1817</v>
      </c>
      <c r="B302" s="2017" t="s">
        <v>1592</v>
      </c>
      <c r="C302" s="2017" t="s">
        <v>1593</v>
      </c>
      <c r="D302" s="2017" t="s">
        <v>1594</v>
      </c>
      <c r="E302" s="2017" t="s">
        <v>1615</v>
      </c>
      <c r="F302" s="2017" t="s">
        <v>1635</v>
      </c>
      <c r="G302" s="2018">
        <v>7510000</v>
      </c>
      <c r="H302" s="2024"/>
    </row>
    <row r="303" spans="1:8" ht="15.75" customHeight="1" x14ac:dyDescent="0.25">
      <c r="A303" s="2017" t="s">
        <v>1817</v>
      </c>
      <c r="B303" s="2017" t="s">
        <v>1592</v>
      </c>
      <c r="C303" s="2017" t="s">
        <v>1593</v>
      </c>
      <c r="D303" s="2017" t="s">
        <v>1594</v>
      </c>
      <c r="E303" s="2017" t="s">
        <v>1615</v>
      </c>
      <c r="F303" s="2017" t="s">
        <v>1794</v>
      </c>
      <c r="G303" s="2018">
        <v>2530000</v>
      </c>
      <c r="H303" s="2024"/>
    </row>
    <row r="304" spans="1:8" ht="15.75" customHeight="1" x14ac:dyDescent="0.25">
      <c r="A304" s="2017" t="s">
        <v>1817</v>
      </c>
      <c r="B304" s="2017" t="s">
        <v>1592</v>
      </c>
      <c r="C304" s="2017" t="s">
        <v>1593</v>
      </c>
      <c r="D304" s="2017" t="s">
        <v>1594</v>
      </c>
      <c r="E304" s="2017" t="s">
        <v>1615</v>
      </c>
      <c r="F304" s="2017" t="s">
        <v>1764</v>
      </c>
      <c r="G304" s="2018">
        <v>2007027500</v>
      </c>
      <c r="H304" s="2024"/>
    </row>
    <row r="305" spans="1:8" ht="15.75" customHeight="1" x14ac:dyDescent="0.25">
      <c r="A305" s="2017" t="s">
        <v>1817</v>
      </c>
      <c r="B305" s="2017" t="s">
        <v>1592</v>
      </c>
      <c r="C305" s="2017" t="s">
        <v>1593</v>
      </c>
      <c r="D305" s="2017" t="s">
        <v>1594</v>
      </c>
      <c r="E305" s="2017" t="s">
        <v>1615</v>
      </c>
      <c r="F305" s="2017" t="s">
        <v>1616</v>
      </c>
      <c r="G305" s="2018">
        <v>65551000</v>
      </c>
      <c r="H305" s="2024"/>
    </row>
    <row r="306" spans="1:8" ht="15.75" customHeight="1" x14ac:dyDescent="0.25">
      <c r="A306" s="2017" t="s">
        <v>1817</v>
      </c>
      <c r="B306" s="2017" t="s">
        <v>1592</v>
      </c>
      <c r="C306" s="2017" t="s">
        <v>1593</v>
      </c>
      <c r="D306" s="2017" t="s">
        <v>1594</v>
      </c>
      <c r="E306" s="2017" t="s">
        <v>1801</v>
      </c>
      <c r="F306" s="2017" t="s">
        <v>1646</v>
      </c>
      <c r="G306" s="2018">
        <v>33696000</v>
      </c>
      <c r="H306" s="2024"/>
    </row>
    <row r="307" spans="1:8" ht="15.75" customHeight="1" x14ac:dyDescent="0.25">
      <c r="A307" s="2017" t="s">
        <v>1817</v>
      </c>
      <c r="B307" s="2017" t="s">
        <v>1592</v>
      </c>
      <c r="C307" s="2017" t="s">
        <v>1593</v>
      </c>
      <c r="D307" s="2017" t="s">
        <v>1594</v>
      </c>
      <c r="E307" s="2017" t="s">
        <v>1801</v>
      </c>
      <c r="F307" s="2017" t="s">
        <v>1804</v>
      </c>
      <c r="G307" s="2018">
        <v>33696000</v>
      </c>
      <c r="H307" s="2024"/>
    </row>
    <row r="308" spans="1:8" ht="15.75" customHeight="1" x14ac:dyDescent="0.25">
      <c r="A308" s="2017" t="s">
        <v>1817</v>
      </c>
      <c r="B308" s="2017" t="s">
        <v>1592</v>
      </c>
      <c r="C308" s="2017" t="s">
        <v>1593</v>
      </c>
      <c r="D308" s="2017" t="s">
        <v>1594</v>
      </c>
      <c r="E308" s="2017" t="s">
        <v>1604</v>
      </c>
      <c r="F308" s="2017" t="s">
        <v>1646</v>
      </c>
      <c r="G308" s="2018">
        <v>83537000</v>
      </c>
      <c r="H308" s="2024"/>
    </row>
    <row r="309" spans="1:8" ht="15.75" customHeight="1" x14ac:dyDescent="0.25">
      <c r="A309" s="2017" t="s">
        <v>1817</v>
      </c>
      <c r="B309" s="2017" t="s">
        <v>1592</v>
      </c>
      <c r="C309" s="2017" t="s">
        <v>1593</v>
      </c>
      <c r="D309" s="2017" t="s">
        <v>1594</v>
      </c>
      <c r="E309" s="2017" t="s">
        <v>1604</v>
      </c>
      <c r="F309" s="2017" t="s">
        <v>1821</v>
      </c>
      <c r="G309" s="2018">
        <v>83537000</v>
      </c>
      <c r="H309" s="2024"/>
    </row>
    <row r="310" spans="1:8" ht="15.75" customHeight="1" x14ac:dyDescent="0.25">
      <c r="A310" s="2017" t="s">
        <v>1817</v>
      </c>
      <c r="B310" s="2017" t="s">
        <v>1592</v>
      </c>
      <c r="C310" s="2017" t="s">
        <v>1593</v>
      </c>
      <c r="D310" s="2017" t="s">
        <v>1594</v>
      </c>
      <c r="E310" s="2017" t="s">
        <v>1595</v>
      </c>
      <c r="F310" s="2017" t="s">
        <v>1646</v>
      </c>
      <c r="G310" s="2018">
        <v>4888129328</v>
      </c>
      <c r="H310" s="2024"/>
    </row>
    <row r="311" spans="1:8" ht="15.75" customHeight="1" x14ac:dyDescent="0.25">
      <c r="A311" s="2017" t="s">
        <v>1817</v>
      </c>
      <c r="B311" s="2017" t="s">
        <v>1592</v>
      </c>
      <c r="C311" s="2017" t="s">
        <v>1593</v>
      </c>
      <c r="D311" s="2017" t="s">
        <v>1594</v>
      </c>
      <c r="E311" s="2017" t="s">
        <v>1595</v>
      </c>
      <c r="F311" s="2017" t="s">
        <v>1596</v>
      </c>
      <c r="G311" s="2018">
        <v>4888129328</v>
      </c>
      <c r="H311" s="2024"/>
    </row>
    <row r="312" spans="1:8" ht="15.75" customHeight="1" x14ac:dyDescent="0.25">
      <c r="A312" s="2017" t="s">
        <v>1817</v>
      </c>
      <c r="B312" s="2017" t="s">
        <v>1592</v>
      </c>
      <c r="C312" s="2017" t="s">
        <v>1593</v>
      </c>
      <c r="D312" s="2017" t="s">
        <v>1594</v>
      </c>
      <c r="E312" s="2017" t="s">
        <v>1597</v>
      </c>
      <c r="F312" s="2017" t="s">
        <v>1646</v>
      </c>
      <c r="G312" s="2018">
        <v>962272069</v>
      </c>
      <c r="H312" s="2024"/>
    </row>
    <row r="313" spans="1:8" ht="15.75" customHeight="1" x14ac:dyDescent="0.25">
      <c r="A313" s="2017" t="s">
        <v>1817</v>
      </c>
      <c r="B313" s="2017" t="s">
        <v>1592</v>
      </c>
      <c r="C313" s="2017" t="s">
        <v>1593</v>
      </c>
      <c r="D313" s="2017" t="s">
        <v>1594</v>
      </c>
      <c r="E313" s="2017" t="s">
        <v>1597</v>
      </c>
      <c r="F313" s="2017" t="s">
        <v>1598</v>
      </c>
      <c r="G313" s="2018">
        <v>186000000</v>
      </c>
      <c r="H313" s="2024"/>
    </row>
    <row r="314" spans="1:8" ht="15.75" customHeight="1" x14ac:dyDescent="0.25">
      <c r="A314" s="2017" t="s">
        <v>1817</v>
      </c>
      <c r="B314" s="2017" t="s">
        <v>1592</v>
      </c>
      <c r="C314" s="2017" t="s">
        <v>1593</v>
      </c>
      <c r="D314" s="2017" t="s">
        <v>1594</v>
      </c>
      <c r="E314" s="2017" t="s">
        <v>1597</v>
      </c>
      <c r="F314" s="2017" t="s">
        <v>1599</v>
      </c>
      <c r="G314" s="2018">
        <v>738617322</v>
      </c>
      <c r="H314" s="2024"/>
    </row>
    <row r="315" spans="1:8" ht="15.75" customHeight="1" x14ac:dyDescent="0.25">
      <c r="A315" s="2017" t="s">
        <v>1817</v>
      </c>
      <c r="B315" s="2017" t="s">
        <v>1592</v>
      </c>
      <c r="C315" s="2017" t="s">
        <v>1593</v>
      </c>
      <c r="D315" s="2017" t="s">
        <v>1594</v>
      </c>
      <c r="E315" s="2017" t="s">
        <v>1597</v>
      </c>
      <c r="F315" s="2017" t="s">
        <v>1605</v>
      </c>
      <c r="G315" s="2018">
        <v>37654747</v>
      </c>
      <c r="H315" s="2024"/>
    </row>
    <row r="316" spans="1:8" ht="15.75" customHeight="1" x14ac:dyDescent="0.25">
      <c r="A316" s="2017" t="s">
        <v>1817</v>
      </c>
      <c r="B316" s="2017" t="s">
        <v>1592</v>
      </c>
      <c r="C316" s="2017" t="s">
        <v>1593</v>
      </c>
      <c r="D316" s="2017" t="s">
        <v>1691</v>
      </c>
      <c r="E316" s="2017" t="s">
        <v>1646</v>
      </c>
      <c r="F316" s="2017" t="s">
        <v>1646</v>
      </c>
      <c r="G316" s="2018">
        <v>226450000</v>
      </c>
      <c r="H316" s="2024"/>
    </row>
    <row r="317" spans="1:8" ht="15.75" customHeight="1" x14ac:dyDescent="0.25">
      <c r="A317" s="2017" t="s">
        <v>1817</v>
      </c>
      <c r="B317" s="2017" t="s">
        <v>1592</v>
      </c>
      <c r="C317" s="2017" t="s">
        <v>1593</v>
      </c>
      <c r="D317" s="2017" t="s">
        <v>1691</v>
      </c>
      <c r="E317" s="2017" t="s">
        <v>1692</v>
      </c>
      <c r="F317" s="2017" t="s">
        <v>1646</v>
      </c>
      <c r="G317" s="2018">
        <v>226450000</v>
      </c>
      <c r="H317" s="2024"/>
    </row>
    <row r="318" spans="1:8" ht="15.75" customHeight="1" x14ac:dyDescent="0.25">
      <c r="A318" s="2017" t="s">
        <v>1817</v>
      </c>
      <c r="B318" s="2017" t="s">
        <v>1592</v>
      </c>
      <c r="C318" s="2017" t="s">
        <v>1593</v>
      </c>
      <c r="D318" s="2017" t="s">
        <v>1691</v>
      </c>
      <c r="E318" s="2017" t="s">
        <v>1692</v>
      </c>
      <c r="F318" s="2017" t="s">
        <v>1770</v>
      </c>
      <c r="G318" s="2018">
        <v>211840000</v>
      </c>
      <c r="H318" s="2024"/>
    </row>
    <row r="319" spans="1:8" ht="15.75" customHeight="1" x14ac:dyDescent="0.25">
      <c r="A319" s="2017" t="s">
        <v>1817</v>
      </c>
      <c r="B319" s="2017" t="s">
        <v>1592</v>
      </c>
      <c r="C319" s="2017" t="s">
        <v>1593</v>
      </c>
      <c r="D319" s="2017" t="s">
        <v>1691</v>
      </c>
      <c r="E319" s="2017" t="s">
        <v>1692</v>
      </c>
      <c r="F319" s="2017" t="s">
        <v>1693</v>
      </c>
      <c r="G319" s="2018">
        <v>14610000</v>
      </c>
      <c r="H319" s="2024"/>
    </row>
    <row r="320" spans="1:8" ht="15.75" customHeight="1" x14ac:dyDescent="0.25">
      <c r="A320" s="2017" t="s">
        <v>1817</v>
      </c>
      <c r="B320" s="2017" t="s">
        <v>1592</v>
      </c>
      <c r="C320" s="2017" t="s">
        <v>1593</v>
      </c>
      <c r="D320" s="2017" t="s">
        <v>1638</v>
      </c>
      <c r="E320" s="2017" t="s">
        <v>1646</v>
      </c>
      <c r="F320" s="2017" t="s">
        <v>1646</v>
      </c>
      <c r="G320" s="2018">
        <v>1185636140</v>
      </c>
      <c r="H320" s="2024"/>
    </row>
    <row r="321" spans="1:8" ht="15.75" customHeight="1" x14ac:dyDescent="0.25">
      <c r="A321" s="2017" t="s">
        <v>1817</v>
      </c>
      <c r="B321" s="2017" t="s">
        <v>1592</v>
      </c>
      <c r="C321" s="2017" t="s">
        <v>1593</v>
      </c>
      <c r="D321" s="2017" t="s">
        <v>1638</v>
      </c>
      <c r="E321" s="2017" t="s">
        <v>1730</v>
      </c>
      <c r="F321" s="2017" t="s">
        <v>1646</v>
      </c>
      <c r="G321" s="2018">
        <v>339585957</v>
      </c>
      <c r="H321" s="2024"/>
    </row>
    <row r="322" spans="1:8" ht="15.75" customHeight="1" x14ac:dyDescent="0.25">
      <c r="A322" s="2017" t="s">
        <v>1817</v>
      </c>
      <c r="B322" s="2017" t="s">
        <v>1592</v>
      </c>
      <c r="C322" s="2017" t="s">
        <v>1593</v>
      </c>
      <c r="D322" s="2017" t="s">
        <v>1638</v>
      </c>
      <c r="E322" s="2017" t="s">
        <v>1730</v>
      </c>
      <c r="F322" s="2017" t="s">
        <v>1731</v>
      </c>
      <c r="G322" s="2018">
        <v>339585957</v>
      </c>
      <c r="H322" s="2024"/>
    </row>
    <row r="323" spans="1:8" ht="15.75" customHeight="1" x14ac:dyDescent="0.25">
      <c r="A323" s="2017" t="s">
        <v>1817</v>
      </c>
      <c r="B323" s="2017" t="s">
        <v>1592</v>
      </c>
      <c r="C323" s="2017" t="s">
        <v>1593</v>
      </c>
      <c r="D323" s="2017" t="s">
        <v>1638</v>
      </c>
      <c r="E323" s="2017" t="s">
        <v>1607</v>
      </c>
      <c r="F323" s="2017" t="s">
        <v>1646</v>
      </c>
      <c r="G323" s="2018">
        <v>330108930</v>
      </c>
      <c r="H323" s="2024"/>
    </row>
    <row r="324" spans="1:8" ht="15.75" customHeight="1" x14ac:dyDescent="0.25">
      <c r="A324" s="2017" t="s">
        <v>1817</v>
      </c>
      <c r="B324" s="2017" t="s">
        <v>1592</v>
      </c>
      <c r="C324" s="2017" t="s">
        <v>1593</v>
      </c>
      <c r="D324" s="2017" t="s">
        <v>1638</v>
      </c>
      <c r="E324" s="2017" t="s">
        <v>1607</v>
      </c>
      <c r="F324" s="2017" t="s">
        <v>1734</v>
      </c>
      <c r="G324" s="2018">
        <v>19188000</v>
      </c>
      <c r="H324" s="2024"/>
    </row>
    <row r="325" spans="1:8" ht="15.75" customHeight="1" x14ac:dyDescent="0.25">
      <c r="A325" s="2017" t="s">
        <v>1817</v>
      </c>
      <c r="B325" s="2017" t="s">
        <v>1592</v>
      </c>
      <c r="C325" s="2017" t="s">
        <v>1593</v>
      </c>
      <c r="D325" s="2017" t="s">
        <v>1638</v>
      </c>
      <c r="E325" s="2017" t="s">
        <v>1607</v>
      </c>
      <c r="F325" s="2017" t="s">
        <v>1735</v>
      </c>
      <c r="G325" s="2018">
        <v>19656000</v>
      </c>
      <c r="H325" s="2024"/>
    </row>
    <row r="326" spans="1:8" ht="15.75" customHeight="1" x14ac:dyDescent="0.25">
      <c r="A326" s="2017" t="s">
        <v>1817</v>
      </c>
      <c r="B326" s="2017" t="s">
        <v>1592</v>
      </c>
      <c r="C326" s="2017" t="s">
        <v>1593</v>
      </c>
      <c r="D326" s="2017" t="s">
        <v>1638</v>
      </c>
      <c r="E326" s="2017" t="s">
        <v>1607</v>
      </c>
      <c r="F326" s="2017" t="s">
        <v>1737</v>
      </c>
      <c r="G326" s="2018">
        <v>52678080</v>
      </c>
      <c r="H326" s="2024"/>
    </row>
    <row r="327" spans="1:8" ht="15.75" customHeight="1" x14ac:dyDescent="0.25">
      <c r="A327" s="2017" t="s">
        <v>1817</v>
      </c>
      <c r="B327" s="2017" t="s">
        <v>1592</v>
      </c>
      <c r="C327" s="2017" t="s">
        <v>1593</v>
      </c>
      <c r="D327" s="2017" t="s">
        <v>1638</v>
      </c>
      <c r="E327" s="2017" t="s">
        <v>1607</v>
      </c>
      <c r="F327" s="2017" t="s">
        <v>1726</v>
      </c>
      <c r="G327" s="2018">
        <v>68632930</v>
      </c>
      <c r="H327" s="2024"/>
    </row>
    <row r="328" spans="1:8" ht="15.75" customHeight="1" x14ac:dyDescent="0.25">
      <c r="A328" s="2017" t="s">
        <v>1817</v>
      </c>
      <c r="B328" s="2017" t="s">
        <v>1592</v>
      </c>
      <c r="C328" s="2017" t="s">
        <v>1593</v>
      </c>
      <c r="D328" s="2017" t="s">
        <v>1638</v>
      </c>
      <c r="E328" s="2017" t="s">
        <v>1607</v>
      </c>
      <c r="F328" s="2017" t="s">
        <v>1822</v>
      </c>
      <c r="G328" s="2018">
        <v>48358160</v>
      </c>
      <c r="H328" s="2024"/>
    </row>
    <row r="329" spans="1:8" ht="15.75" customHeight="1" x14ac:dyDescent="0.25">
      <c r="A329" s="2017" t="s">
        <v>1817</v>
      </c>
      <c r="B329" s="2017" t="s">
        <v>1592</v>
      </c>
      <c r="C329" s="2017" t="s">
        <v>1593</v>
      </c>
      <c r="D329" s="2017" t="s">
        <v>1638</v>
      </c>
      <c r="E329" s="2017" t="s">
        <v>1607</v>
      </c>
      <c r="F329" s="2017" t="s">
        <v>1781</v>
      </c>
      <c r="G329" s="2018">
        <v>20975760</v>
      </c>
      <c r="H329" s="2024"/>
    </row>
    <row r="330" spans="1:8" ht="15.75" customHeight="1" x14ac:dyDescent="0.25">
      <c r="A330" s="2017" t="s">
        <v>1817</v>
      </c>
      <c r="B330" s="2017" t="s">
        <v>1592</v>
      </c>
      <c r="C330" s="2017" t="s">
        <v>1593</v>
      </c>
      <c r="D330" s="2017" t="s">
        <v>1638</v>
      </c>
      <c r="E330" s="2017" t="s">
        <v>1607</v>
      </c>
      <c r="F330" s="2017" t="s">
        <v>1738</v>
      </c>
      <c r="G330" s="2018">
        <v>100620000</v>
      </c>
      <c r="H330" s="2024"/>
    </row>
    <row r="331" spans="1:8" ht="15.75" customHeight="1" x14ac:dyDescent="0.25">
      <c r="A331" s="2017" t="s">
        <v>1817</v>
      </c>
      <c r="B331" s="2017" t="s">
        <v>1592</v>
      </c>
      <c r="C331" s="2017" t="s">
        <v>1593</v>
      </c>
      <c r="D331" s="2017" t="s">
        <v>1638</v>
      </c>
      <c r="E331" s="2017" t="s">
        <v>1741</v>
      </c>
      <c r="F331" s="2017" t="s">
        <v>1646</v>
      </c>
      <c r="G331" s="2018">
        <v>44000000</v>
      </c>
      <c r="H331" s="2024"/>
    </row>
    <row r="332" spans="1:8" ht="15.75" customHeight="1" x14ac:dyDescent="0.25">
      <c r="A332" s="2017" t="s">
        <v>1817</v>
      </c>
      <c r="B332" s="2017" t="s">
        <v>1592</v>
      </c>
      <c r="C332" s="2017" t="s">
        <v>1593</v>
      </c>
      <c r="D332" s="2017" t="s">
        <v>1638</v>
      </c>
      <c r="E332" s="2017" t="s">
        <v>1741</v>
      </c>
      <c r="F332" s="2017" t="s">
        <v>1742</v>
      </c>
      <c r="G332" s="2018">
        <v>44000000</v>
      </c>
      <c r="H332" s="2024"/>
    </row>
    <row r="333" spans="1:8" ht="15.75" customHeight="1" x14ac:dyDescent="0.25">
      <c r="A333" s="2017" t="s">
        <v>1817</v>
      </c>
      <c r="B333" s="2017" t="s">
        <v>1592</v>
      </c>
      <c r="C333" s="2017" t="s">
        <v>1593</v>
      </c>
      <c r="D333" s="2017" t="s">
        <v>1638</v>
      </c>
      <c r="E333" s="2017" t="s">
        <v>1784</v>
      </c>
      <c r="F333" s="2017" t="s">
        <v>1646</v>
      </c>
      <c r="G333" s="2018">
        <v>6000000</v>
      </c>
      <c r="H333" s="2024"/>
    </row>
    <row r="334" spans="1:8" ht="15.75" customHeight="1" x14ac:dyDescent="0.25">
      <c r="A334" s="2017" t="s">
        <v>1817</v>
      </c>
      <c r="B334" s="2017" t="s">
        <v>1592</v>
      </c>
      <c r="C334" s="2017" t="s">
        <v>1593</v>
      </c>
      <c r="D334" s="2017" t="s">
        <v>1638</v>
      </c>
      <c r="E334" s="2017" t="s">
        <v>1784</v>
      </c>
      <c r="F334" s="2017" t="s">
        <v>1785</v>
      </c>
      <c r="G334" s="2018">
        <v>6000000</v>
      </c>
      <c r="H334" s="2024"/>
    </row>
    <row r="335" spans="1:8" ht="15.75" customHeight="1" x14ac:dyDescent="0.25">
      <c r="A335" s="2017" t="s">
        <v>1817</v>
      </c>
      <c r="B335" s="2017" t="s">
        <v>1592</v>
      </c>
      <c r="C335" s="2017" t="s">
        <v>1593</v>
      </c>
      <c r="D335" s="2017" t="s">
        <v>1638</v>
      </c>
      <c r="E335" s="2017" t="s">
        <v>1743</v>
      </c>
      <c r="F335" s="2017" t="s">
        <v>1646</v>
      </c>
      <c r="G335" s="2018">
        <v>92292981</v>
      </c>
      <c r="H335" s="2024"/>
    </row>
    <row r="336" spans="1:8" ht="15.75" customHeight="1" x14ac:dyDescent="0.25">
      <c r="A336" s="2017" t="s">
        <v>1817</v>
      </c>
      <c r="B336" s="2017" t="s">
        <v>1592</v>
      </c>
      <c r="C336" s="2017" t="s">
        <v>1593</v>
      </c>
      <c r="D336" s="2017" t="s">
        <v>1638</v>
      </c>
      <c r="E336" s="2017" t="s">
        <v>1743</v>
      </c>
      <c r="F336" s="2017" t="s">
        <v>1744</v>
      </c>
      <c r="G336" s="2018">
        <v>74336691</v>
      </c>
      <c r="H336" s="2024"/>
    </row>
    <row r="337" spans="1:8" ht="15.75" customHeight="1" x14ac:dyDescent="0.25">
      <c r="A337" s="2017" t="s">
        <v>1817</v>
      </c>
      <c r="B337" s="2017" t="s">
        <v>1592</v>
      </c>
      <c r="C337" s="2017" t="s">
        <v>1593</v>
      </c>
      <c r="D337" s="2017" t="s">
        <v>1638</v>
      </c>
      <c r="E337" s="2017" t="s">
        <v>1743</v>
      </c>
      <c r="F337" s="2017" t="s">
        <v>1745</v>
      </c>
      <c r="G337" s="2018">
        <v>14642257</v>
      </c>
      <c r="H337" s="2024"/>
    </row>
    <row r="338" spans="1:8" ht="15.75" customHeight="1" x14ac:dyDescent="0.25">
      <c r="A338" s="2017" t="s">
        <v>1817</v>
      </c>
      <c r="B338" s="2017" t="s">
        <v>1592</v>
      </c>
      <c r="C338" s="2017" t="s">
        <v>1593</v>
      </c>
      <c r="D338" s="2017" t="s">
        <v>1638</v>
      </c>
      <c r="E338" s="2017" t="s">
        <v>1743</v>
      </c>
      <c r="F338" s="2017" t="s">
        <v>1746</v>
      </c>
      <c r="G338" s="2018">
        <v>3314033</v>
      </c>
      <c r="H338" s="2024"/>
    </row>
    <row r="339" spans="1:8" ht="15.75" customHeight="1" x14ac:dyDescent="0.25">
      <c r="A339" s="2017" t="s">
        <v>1817</v>
      </c>
      <c r="B339" s="2017" t="s">
        <v>1592</v>
      </c>
      <c r="C339" s="2017" t="s">
        <v>1593</v>
      </c>
      <c r="D339" s="2017" t="s">
        <v>1638</v>
      </c>
      <c r="E339" s="2017" t="s">
        <v>1748</v>
      </c>
      <c r="F339" s="2017" t="s">
        <v>1646</v>
      </c>
      <c r="G339" s="2018">
        <v>58503256</v>
      </c>
      <c r="H339" s="2024"/>
    </row>
    <row r="340" spans="1:8" ht="15.75" customHeight="1" x14ac:dyDescent="0.25">
      <c r="A340" s="2017" t="s">
        <v>1817</v>
      </c>
      <c r="B340" s="2017" t="s">
        <v>1592</v>
      </c>
      <c r="C340" s="2017" t="s">
        <v>1593</v>
      </c>
      <c r="D340" s="2017" t="s">
        <v>1638</v>
      </c>
      <c r="E340" s="2017" t="s">
        <v>1748</v>
      </c>
      <c r="F340" s="2017" t="s">
        <v>1767</v>
      </c>
      <c r="G340" s="2018">
        <v>26211256</v>
      </c>
      <c r="H340" s="2024"/>
    </row>
    <row r="341" spans="1:8" ht="15.75" customHeight="1" x14ac:dyDescent="0.25">
      <c r="A341" s="2017" t="s">
        <v>1817</v>
      </c>
      <c r="B341" s="2017" t="s">
        <v>1592</v>
      </c>
      <c r="C341" s="2017" t="s">
        <v>1593</v>
      </c>
      <c r="D341" s="2017" t="s">
        <v>1638</v>
      </c>
      <c r="E341" s="2017" t="s">
        <v>1748</v>
      </c>
      <c r="F341" s="2017" t="s">
        <v>1750</v>
      </c>
      <c r="G341" s="2018">
        <v>32292000</v>
      </c>
      <c r="H341" s="2024"/>
    </row>
    <row r="342" spans="1:8" ht="15.75" customHeight="1" x14ac:dyDescent="0.25">
      <c r="A342" s="2017" t="s">
        <v>1817</v>
      </c>
      <c r="B342" s="2017" t="s">
        <v>1592</v>
      </c>
      <c r="C342" s="2017" t="s">
        <v>1593</v>
      </c>
      <c r="D342" s="2017" t="s">
        <v>1638</v>
      </c>
      <c r="E342" s="2017" t="s">
        <v>1751</v>
      </c>
      <c r="F342" s="2017" t="s">
        <v>1646</v>
      </c>
      <c r="G342" s="2018">
        <v>2238874</v>
      </c>
      <c r="H342" s="2024"/>
    </row>
    <row r="343" spans="1:8" ht="15.75" customHeight="1" x14ac:dyDescent="0.25">
      <c r="A343" s="2017" t="s">
        <v>1817</v>
      </c>
      <c r="B343" s="2017" t="s">
        <v>1592</v>
      </c>
      <c r="C343" s="2017" t="s">
        <v>1593</v>
      </c>
      <c r="D343" s="2017" t="s">
        <v>1638</v>
      </c>
      <c r="E343" s="2017" t="s">
        <v>1751</v>
      </c>
      <c r="F343" s="2017" t="s">
        <v>1752</v>
      </c>
      <c r="G343" s="2018">
        <v>2238874</v>
      </c>
      <c r="H343" s="2024"/>
    </row>
    <row r="344" spans="1:8" ht="15.75" customHeight="1" x14ac:dyDescent="0.25">
      <c r="A344" s="2017" t="s">
        <v>1817</v>
      </c>
      <c r="B344" s="2017" t="s">
        <v>1592</v>
      </c>
      <c r="C344" s="2017" t="s">
        <v>1593</v>
      </c>
      <c r="D344" s="2017" t="s">
        <v>1638</v>
      </c>
      <c r="E344" s="2017" t="s">
        <v>1623</v>
      </c>
      <c r="F344" s="2017" t="s">
        <v>1646</v>
      </c>
      <c r="G344" s="2018">
        <v>33208146</v>
      </c>
      <c r="H344" s="2024"/>
    </row>
    <row r="345" spans="1:8" ht="15.75" customHeight="1" x14ac:dyDescent="0.25">
      <c r="A345" s="2017" t="s">
        <v>1817</v>
      </c>
      <c r="B345" s="2017" t="s">
        <v>1592</v>
      </c>
      <c r="C345" s="2017" t="s">
        <v>1593</v>
      </c>
      <c r="D345" s="2017" t="s">
        <v>1638</v>
      </c>
      <c r="E345" s="2017" t="s">
        <v>1623</v>
      </c>
      <c r="F345" s="2017" t="s">
        <v>1624</v>
      </c>
      <c r="G345" s="2018">
        <v>8468851</v>
      </c>
      <c r="H345" s="2024"/>
    </row>
    <row r="346" spans="1:8" ht="15.75" customHeight="1" x14ac:dyDescent="0.25">
      <c r="A346" s="2017" t="s">
        <v>1817</v>
      </c>
      <c r="B346" s="2017" t="s">
        <v>1592</v>
      </c>
      <c r="C346" s="2017" t="s">
        <v>1593</v>
      </c>
      <c r="D346" s="2017" t="s">
        <v>1638</v>
      </c>
      <c r="E346" s="2017" t="s">
        <v>1623</v>
      </c>
      <c r="F346" s="2017" t="s">
        <v>1639</v>
      </c>
      <c r="G346" s="2018">
        <v>16836555</v>
      </c>
      <c r="H346" s="2024"/>
    </row>
    <row r="347" spans="1:8" ht="15.75" customHeight="1" x14ac:dyDescent="0.25">
      <c r="A347" s="2017" t="s">
        <v>1817</v>
      </c>
      <c r="B347" s="2017" t="s">
        <v>1592</v>
      </c>
      <c r="C347" s="2017" t="s">
        <v>1593</v>
      </c>
      <c r="D347" s="2017" t="s">
        <v>1638</v>
      </c>
      <c r="E347" s="2017" t="s">
        <v>1623</v>
      </c>
      <c r="F347" s="2017" t="s">
        <v>1634</v>
      </c>
      <c r="G347" s="2018">
        <v>7902740</v>
      </c>
      <c r="H347" s="2024"/>
    </row>
    <row r="348" spans="1:8" ht="15.75" customHeight="1" x14ac:dyDescent="0.25">
      <c r="A348" s="2017" t="s">
        <v>1817</v>
      </c>
      <c r="B348" s="2017" t="s">
        <v>1592</v>
      </c>
      <c r="C348" s="2017" t="s">
        <v>1593</v>
      </c>
      <c r="D348" s="2017" t="s">
        <v>1638</v>
      </c>
      <c r="E348" s="2017" t="s">
        <v>1652</v>
      </c>
      <c r="F348" s="2017" t="s">
        <v>1646</v>
      </c>
      <c r="G348" s="2018">
        <v>2858090</v>
      </c>
      <c r="H348" s="2024"/>
    </row>
    <row r="349" spans="1:8" ht="15.75" customHeight="1" x14ac:dyDescent="0.25">
      <c r="A349" s="2017" t="s">
        <v>1817</v>
      </c>
      <c r="B349" s="2017" t="s">
        <v>1592</v>
      </c>
      <c r="C349" s="2017" t="s">
        <v>1593</v>
      </c>
      <c r="D349" s="2017" t="s">
        <v>1638</v>
      </c>
      <c r="E349" s="2017" t="s">
        <v>1652</v>
      </c>
      <c r="F349" s="2017" t="s">
        <v>1755</v>
      </c>
      <c r="G349" s="2018">
        <v>724090</v>
      </c>
      <c r="H349" s="2024"/>
    </row>
    <row r="350" spans="1:8" ht="15.75" customHeight="1" x14ac:dyDescent="0.25">
      <c r="A350" s="2017" t="s">
        <v>1817</v>
      </c>
      <c r="B350" s="2017" t="s">
        <v>1592</v>
      </c>
      <c r="C350" s="2017" t="s">
        <v>1593</v>
      </c>
      <c r="D350" s="2017" t="s">
        <v>1638</v>
      </c>
      <c r="E350" s="2017" t="s">
        <v>1652</v>
      </c>
      <c r="F350" s="2017" t="s">
        <v>1800</v>
      </c>
      <c r="G350" s="2018">
        <v>2134000</v>
      </c>
      <c r="H350" s="2024"/>
    </row>
    <row r="351" spans="1:8" ht="15.75" customHeight="1" x14ac:dyDescent="0.25">
      <c r="A351" s="2017" t="s">
        <v>1817</v>
      </c>
      <c r="B351" s="2017" t="s">
        <v>1592</v>
      </c>
      <c r="C351" s="2017" t="s">
        <v>1593</v>
      </c>
      <c r="D351" s="2017" t="s">
        <v>1638</v>
      </c>
      <c r="E351" s="2017" t="s">
        <v>1609</v>
      </c>
      <c r="F351" s="2017" t="s">
        <v>1646</v>
      </c>
      <c r="G351" s="2018">
        <v>122398800</v>
      </c>
      <c r="H351" s="2024"/>
    </row>
    <row r="352" spans="1:8" ht="15.75" customHeight="1" x14ac:dyDescent="0.25">
      <c r="A352" s="2017" t="s">
        <v>1817</v>
      </c>
      <c r="B352" s="2017" t="s">
        <v>1592</v>
      </c>
      <c r="C352" s="2017" t="s">
        <v>1593</v>
      </c>
      <c r="D352" s="2017" t="s">
        <v>1638</v>
      </c>
      <c r="E352" s="2017" t="s">
        <v>1609</v>
      </c>
      <c r="F352" s="2017" t="s">
        <v>1610</v>
      </c>
      <c r="G352" s="2018">
        <v>6490920</v>
      </c>
      <c r="H352" s="2024"/>
    </row>
    <row r="353" spans="1:8" ht="15.75" customHeight="1" x14ac:dyDescent="0.25">
      <c r="A353" s="2017" t="s">
        <v>1817</v>
      </c>
      <c r="B353" s="2017" t="s">
        <v>1592</v>
      </c>
      <c r="C353" s="2017" t="s">
        <v>1593</v>
      </c>
      <c r="D353" s="2017" t="s">
        <v>1638</v>
      </c>
      <c r="E353" s="2017" t="s">
        <v>1609</v>
      </c>
      <c r="F353" s="2017" t="s">
        <v>1611</v>
      </c>
      <c r="G353" s="2018">
        <v>38800000</v>
      </c>
      <c r="H353" s="2024"/>
    </row>
    <row r="354" spans="1:8" ht="15.75" customHeight="1" x14ac:dyDescent="0.25">
      <c r="A354" s="2017" t="s">
        <v>1817</v>
      </c>
      <c r="B354" s="2017" t="s">
        <v>1592</v>
      </c>
      <c r="C354" s="2017" t="s">
        <v>1593</v>
      </c>
      <c r="D354" s="2017" t="s">
        <v>1638</v>
      </c>
      <c r="E354" s="2017" t="s">
        <v>1609</v>
      </c>
      <c r="F354" s="2017" t="s">
        <v>1612</v>
      </c>
      <c r="G354" s="2018">
        <v>77107880</v>
      </c>
      <c r="H354" s="2024"/>
    </row>
    <row r="355" spans="1:8" ht="15.75" customHeight="1" x14ac:dyDescent="0.25">
      <c r="A355" s="2017" t="s">
        <v>1817</v>
      </c>
      <c r="B355" s="2017" t="s">
        <v>1592</v>
      </c>
      <c r="C355" s="2017" t="s">
        <v>1593</v>
      </c>
      <c r="D355" s="2017" t="s">
        <v>1638</v>
      </c>
      <c r="E355" s="2017" t="s">
        <v>1660</v>
      </c>
      <c r="F355" s="2017" t="s">
        <v>1646</v>
      </c>
      <c r="G355" s="2018">
        <v>2420000</v>
      </c>
      <c r="H355" s="2024"/>
    </row>
    <row r="356" spans="1:8" ht="15.75" customHeight="1" x14ac:dyDescent="0.25">
      <c r="A356" s="2017" t="s">
        <v>1817</v>
      </c>
      <c r="B356" s="2017" t="s">
        <v>1592</v>
      </c>
      <c r="C356" s="2017" t="s">
        <v>1593</v>
      </c>
      <c r="D356" s="2017" t="s">
        <v>1638</v>
      </c>
      <c r="E356" s="2017" t="s">
        <v>1660</v>
      </c>
      <c r="F356" s="2017" t="s">
        <v>1756</v>
      </c>
      <c r="G356" s="2018">
        <v>720000</v>
      </c>
      <c r="H356" s="2024"/>
    </row>
    <row r="357" spans="1:8" ht="15.75" customHeight="1" x14ac:dyDescent="0.25">
      <c r="A357" s="2017" t="s">
        <v>1817</v>
      </c>
      <c r="B357" s="2017" t="s">
        <v>1592</v>
      </c>
      <c r="C357" s="2017" t="s">
        <v>1593</v>
      </c>
      <c r="D357" s="2017" t="s">
        <v>1638</v>
      </c>
      <c r="E357" s="2017" t="s">
        <v>1660</v>
      </c>
      <c r="F357" s="2017" t="s">
        <v>1661</v>
      </c>
      <c r="G357" s="2018">
        <v>1000000</v>
      </c>
      <c r="H357" s="2024"/>
    </row>
    <row r="358" spans="1:8" ht="15.75" customHeight="1" x14ac:dyDescent="0.25">
      <c r="A358" s="2017" t="s">
        <v>1817</v>
      </c>
      <c r="B358" s="2017" t="s">
        <v>1592</v>
      </c>
      <c r="C358" s="2017" t="s">
        <v>1593</v>
      </c>
      <c r="D358" s="2017" t="s">
        <v>1638</v>
      </c>
      <c r="E358" s="2017" t="s">
        <v>1660</v>
      </c>
      <c r="F358" s="2017" t="s">
        <v>1662</v>
      </c>
      <c r="G358" s="2018">
        <v>700000</v>
      </c>
      <c r="H358" s="2024"/>
    </row>
    <row r="359" spans="1:8" ht="15.75" customHeight="1" x14ac:dyDescent="0.25">
      <c r="A359" s="2017" t="s">
        <v>1817</v>
      </c>
      <c r="B359" s="2017" t="s">
        <v>1592</v>
      </c>
      <c r="C359" s="2017" t="s">
        <v>1593</v>
      </c>
      <c r="D359" s="2017" t="s">
        <v>1638</v>
      </c>
      <c r="E359" s="2017" t="s">
        <v>1654</v>
      </c>
      <c r="F359" s="2017" t="s">
        <v>1646</v>
      </c>
      <c r="G359" s="2018">
        <v>4400000</v>
      </c>
      <c r="H359" s="2024"/>
    </row>
    <row r="360" spans="1:8" ht="15.75" customHeight="1" x14ac:dyDescent="0.25">
      <c r="A360" s="2017" t="s">
        <v>1817</v>
      </c>
      <c r="B360" s="2017" t="s">
        <v>1592</v>
      </c>
      <c r="C360" s="2017" t="s">
        <v>1593</v>
      </c>
      <c r="D360" s="2017" t="s">
        <v>1638</v>
      </c>
      <c r="E360" s="2017" t="s">
        <v>1654</v>
      </c>
      <c r="F360" s="2017" t="s">
        <v>1663</v>
      </c>
      <c r="G360" s="2018">
        <v>4400000</v>
      </c>
      <c r="H360" s="2024"/>
    </row>
    <row r="361" spans="1:8" ht="15.75" customHeight="1" x14ac:dyDescent="0.25">
      <c r="A361" s="2017" t="s">
        <v>1817</v>
      </c>
      <c r="B361" s="2017" t="s">
        <v>1592</v>
      </c>
      <c r="C361" s="2017" t="s">
        <v>1593</v>
      </c>
      <c r="D361" s="2017" t="s">
        <v>1638</v>
      </c>
      <c r="E361" s="2017" t="s">
        <v>1791</v>
      </c>
      <c r="F361" s="2017" t="s">
        <v>1646</v>
      </c>
      <c r="G361" s="2018">
        <v>11000000</v>
      </c>
      <c r="H361" s="2024"/>
    </row>
    <row r="362" spans="1:8" ht="15.75" customHeight="1" x14ac:dyDescent="0.25">
      <c r="A362" s="2017" t="s">
        <v>1817</v>
      </c>
      <c r="B362" s="2017" t="s">
        <v>1592</v>
      </c>
      <c r="C362" s="2017" t="s">
        <v>1593</v>
      </c>
      <c r="D362" s="2017" t="s">
        <v>1638</v>
      </c>
      <c r="E362" s="2017" t="s">
        <v>1791</v>
      </c>
      <c r="F362" s="2017" t="s">
        <v>1792</v>
      </c>
      <c r="G362" s="2018">
        <v>11000000</v>
      </c>
      <c r="H362" s="2024"/>
    </row>
    <row r="363" spans="1:8" ht="15.75" customHeight="1" x14ac:dyDescent="0.25">
      <c r="A363" s="2017" t="s">
        <v>1817</v>
      </c>
      <c r="B363" s="2017" t="s">
        <v>1592</v>
      </c>
      <c r="C363" s="2017" t="s">
        <v>1593</v>
      </c>
      <c r="D363" s="2017" t="s">
        <v>1638</v>
      </c>
      <c r="E363" s="2017" t="s">
        <v>1615</v>
      </c>
      <c r="F363" s="2017" t="s">
        <v>1646</v>
      </c>
      <c r="G363" s="2018">
        <v>7835520</v>
      </c>
      <c r="H363" s="2024"/>
    </row>
    <row r="364" spans="1:8" ht="15.75" customHeight="1" x14ac:dyDescent="0.25">
      <c r="A364" s="2017" t="s">
        <v>1817</v>
      </c>
      <c r="B364" s="2017" t="s">
        <v>1592</v>
      </c>
      <c r="C364" s="2017" t="s">
        <v>1593</v>
      </c>
      <c r="D364" s="2017" t="s">
        <v>1638</v>
      </c>
      <c r="E364" s="2017" t="s">
        <v>1615</v>
      </c>
      <c r="F364" s="2017" t="s">
        <v>1763</v>
      </c>
      <c r="G364" s="2018">
        <v>6540520</v>
      </c>
      <c r="H364" s="2024"/>
    </row>
    <row r="365" spans="1:8" ht="15.75" customHeight="1" x14ac:dyDescent="0.25">
      <c r="A365" s="2017" t="s">
        <v>1817</v>
      </c>
      <c r="B365" s="2017" t="s">
        <v>1592</v>
      </c>
      <c r="C365" s="2017" t="s">
        <v>1593</v>
      </c>
      <c r="D365" s="2017" t="s">
        <v>1638</v>
      </c>
      <c r="E365" s="2017" t="s">
        <v>1615</v>
      </c>
      <c r="F365" s="2017" t="s">
        <v>1616</v>
      </c>
      <c r="G365" s="2018">
        <v>1295000</v>
      </c>
      <c r="H365" s="2024"/>
    </row>
    <row r="366" spans="1:8" ht="15.75" customHeight="1" x14ac:dyDescent="0.25">
      <c r="A366" s="2017" t="s">
        <v>1817</v>
      </c>
      <c r="B366" s="2017" t="s">
        <v>1592</v>
      </c>
      <c r="C366" s="2017" t="s">
        <v>1593</v>
      </c>
      <c r="D366" s="2017" t="s">
        <v>1638</v>
      </c>
      <c r="E366" s="2017" t="s">
        <v>1795</v>
      </c>
      <c r="F366" s="2017" t="s">
        <v>1646</v>
      </c>
      <c r="G366" s="2018">
        <v>128785586</v>
      </c>
      <c r="H366" s="2024"/>
    </row>
    <row r="367" spans="1:8" ht="15.75" customHeight="1" x14ac:dyDescent="0.25">
      <c r="A367" s="2017" t="s">
        <v>1817</v>
      </c>
      <c r="B367" s="2017" t="s">
        <v>1592</v>
      </c>
      <c r="C367" s="2017" t="s">
        <v>1593</v>
      </c>
      <c r="D367" s="2017" t="s">
        <v>1638</v>
      </c>
      <c r="E367" s="2017" t="s">
        <v>1795</v>
      </c>
      <c r="F367" s="2017" t="s">
        <v>1796</v>
      </c>
      <c r="G367" s="2018">
        <v>128785586</v>
      </c>
      <c r="H367" s="2024"/>
    </row>
    <row r="368" spans="1:8" ht="15.75" customHeight="1" x14ac:dyDescent="0.25">
      <c r="A368" s="2017" t="s">
        <v>1817</v>
      </c>
      <c r="B368" s="2017" t="s">
        <v>1592</v>
      </c>
      <c r="C368" s="2017" t="s">
        <v>1593</v>
      </c>
      <c r="D368" s="2017" t="s">
        <v>1823</v>
      </c>
      <c r="E368" s="2017" t="s">
        <v>1646</v>
      </c>
      <c r="F368" s="2017" t="s">
        <v>1646</v>
      </c>
      <c r="G368" s="2018">
        <v>3183602500</v>
      </c>
      <c r="H368" s="2024"/>
    </row>
    <row r="369" spans="1:8" ht="15.75" customHeight="1" x14ac:dyDescent="0.25">
      <c r="A369" s="2017" t="s">
        <v>1817</v>
      </c>
      <c r="B369" s="2017" t="s">
        <v>1592</v>
      </c>
      <c r="C369" s="2017" t="s">
        <v>1593</v>
      </c>
      <c r="D369" s="2017" t="s">
        <v>1823</v>
      </c>
      <c r="E369" s="2017" t="s">
        <v>1692</v>
      </c>
      <c r="F369" s="2017" t="s">
        <v>1646</v>
      </c>
      <c r="G369" s="2018">
        <v>1361582000</v>
      </c>
      <c r="H369" s="2024"/>
    </row>
    <row r="370" spans="1:8" ht="15.75" customHeight="1" x14ac:dyDescent="0.25">
      <c r="A370" s="2017" t="s">
        <v>1817</v>
      </c>
      <c r="B370" s="2017" t="s">
        <v>1592</v>
      </c>
      <c r="C370" s="2017" t="s">
        <v>1593</v>
      </c>
      <c r="D370" s="2017" t="s">
        <v>1823</v>
      </c>
      <c r="E370" s="2017" t="s">
        <v>1692</v>
      </c>
      <c r="F370" s="2017" t="s">
        <v>1770</v>
      </c>
      <c r="G370" s="2018">
        <v>1361582000</v>
      </c>
      <c r="H370" s="2024"/>
    </row>
    <row r="371" spans="1:8" ht="15.75" customHeight="1" x14ac:dyDescent="0.25">
      <c r="A371" s="2017" t="s">
        <v>1817</v>
      </c>
      <c r="B371" s="2017" t="s">
        <v>1592</v>
      </c>
      <c r="C371" s="2017" t="s">
        <v>1593</v>
      </c>
      <c r="D371" s="2017" t="s">
        <v>1823</v>
      </c>
      <c r="E371" s="2017" t="s">
        <v>1615</v>
      </c>
      <c r="F371" s="2017" t="s">
        <v>1646</v>
      </c>
      <c r="G371" s="2018">
        <v>1822020500</v>
      </c>
      <c r="H371" s="2024"/>
    </row>
    <row r="372" spans="1:8" ht="15.75" customHeight="1" x14ac:dyDescent="0.25">
      <c r="A372" s="2017" t="s">
        <v>1817</v>
      </c>
      <c r="B372" s="2017" t="s">
        <v>1592</v>
      </c>
      <c r="C372" s="2017" t="s">
        <v>1593</v>
      </c>
      <c r="D372" s="2017" t="s">
        <v>1823</v>
      </c>
      <c r="E372" s="2017" t="s">
        <v>1615</v>
      </c>
      <c r="F372" s="2017" t="s">
        <v>1764</v>
      </c>
      <c r="G372" s="2018">
        <v>1822020500</v>
      </c>
      <c r="H372" s="2024"/>
    </row>
    <row r="373" spans="1:8" ht="15.75" customHeight="1" x14ac:dyDescent="0.25">
      <c r="A373" s="2017" t="s">
        <v>1817</v>
      </c>
      <c r="B373" s="2017" t="s">
        <v>1592</v>
      </c>
      <c r="C373" s="2017" t="s">
        <v>1772</v>
      </c>
      <c r="D373" s="2017" t="s">
        <v>1646</v>
      </c>
      <c r="E373" s="2017" t="s">
        <v>1646</v>
      </c>
      <c r="F373" s="2017" t="s">
        <v>1646</v>
      </c>
      <c r="G373" s="2018">
        <v>1274291000</v>
      </c>
      <c r="H373" s="2024"/>
    </row>
    <row r="374" spans="1:8" ht="15.75" customHeight="1" x14ac:dyDescent="0.25">
      <c r="A374" s="2017" t="s">
        <v>1817</v>
      </c>
      <c r="B374" s="2017" t="s">
        <v>1592</v>
      </c>
      <c r="C374" s="2017" t="s">
        <v>1772</v>
      </c>
      <c r="D374" s="2017" t="s">
        <v>1773</v>
      </c>
      <c r="E374" s="2017" t="s">
        <v>1646</v>
      </c>
      <c r="F374" s="2017" t="s">
        <v>1646</v>
      </c>
      <c r="G374" s="2018">
        <v>1274291000</v>
      </c>
      <c r="H374" s="2024"/>
    </row>
    <row r="375" spans="1:8" ht="15.75" customHeight="1" x14ac:dyDescent="0.25">
      <c r="A375" s="2017" t="s">
        <v>1817</v>
      </c>
      <c r="B375" s="2017" t="s">
        <v>1592</v>
      </c>
      <c r="C375" s="2017" t="s">
        <v>1772</v>
      </c>
      <c r="D375" s="2017" t="s">
        <v>1773</v>
      </c>
      <c r="E375" s="2017" t="s">
        <v>1824</v>
      </c>
      <c r="F375" s="2017" t="s">
        <v>1646</v>
      </c>
      <c r="G375" s="2018">
        <v>1274291000</v>
      </c>
      <c r="H375" s="2024"/>
    </row>
    <row r="376" spans="1:8" ht="15.75" customHeight="1" x14ac:dyDescent="0.25">
      <c r="A376" s="2017" t="s">
        <v>1817</v>
      </c>
      <c r="B376" s="2017" t="s">
        <v>1592</v>
      </c>
      <c r="C376" s="2017" t="s">
        <v>1772</v>
      </c>
      <c r="D376" s="2017" t="s">
        <v>1773</v>
      </c>
      <c r="E376" s="2017" t="s">
        <v>1824</v>
      </c>
      <c r="F376" s="2017" t="s">
        <v>1825</v>
      </c>
      <c r="G376" s="2018">
        <v>354050000</v>
      </c>
      <c r="H376" s="2024"/>
    </row>
    <row r="377" spans="1:8" ht="15.75" customHeight="1" x14ac:dyDescent="0.25">
      <c r="A377" s="2017" t="s">
        <v>1817</v>
      </c>
      <c r="B377" s="2017" t="s">
        <v>1592</v>
      </c>
      <c r="C377" s="2017" t="s">
        <v>1772</v>
      </c>
      <c r="D377" s="2017" t="s">
        <v>1773</v>
      </c>
      <c r="E377" s="2017" t="s">
        <v>1824</v>
      </c>
      <c r="F377" s="2017" t="s">
        <v>1826</v>
      </c>
      <c r="G377" s="2018">
        <v>920241000</v>
      </c>
      <c r="H377" s="2024"/>
    </row>
    <row r="378" spans="1:8" ht="15.75" customHeight="1" x14ac:dyDescent="0.25">
      <c r="A378" s="2017" t="s">
        <v>1817</v>
      </c>
      <c r="B378" s="2017" t="s">
        <v>1592</v>
      </c>
      <c r="C378" s="2017" t="s">
        <v>1620</v>
      </c>
      <c r="D378" s="2017" t="s">
        <v>1646</v>
      </c>
      <c r="E378" s="2017" t="s">
        <v>1646</v>
      </c>
      <c r="F378" s="2017" t="s">
        <v>1646</v>
      </c>
      <c r="G378" s="2018">
        <v>4185579459</v>
      </c>
      <c r="H378" s="2024"/>
    </row>
    <row r="379" spans="1:8" ht="15.75" customHeight="1" x14ac:dyDescent="0.25">
      <c r="A379" s="2017" t="s">
        <v>1817</v>
      </c>
      <c r="B379" s="2017" t="s">
        <v>1592</v>
      </c>
      <c r="C379" s="2017" t="s">
        <v>1620</v>
      </c>
      <c r="D379" s="2017" t="s">
        <v>1629</v>
      </c>
      <c r="E379" s="2017" t="s">
        <v>1646</v>
      </c>
      <c r="F379" s="2017" t="s">
        <v>1646</v>
      </c>
      <c r="G379" s="2018">
        <v>2763171190</v>
      </c>
      <c r="H379" s="2024"/>
    </row>
    <row r="380" spans="1:8" ht="15.75" customHeight="1" x14ac:dyDescent="0.25">
      <c r="A380" s="2017" t="s">
        <v>1817</v>
      </c>
      <c r="B380" s="2017" t="s">
        <v>1592</v>
      </c>
      <c r="C380" s="2017" t="s">
        <v>1620</v>
      </c>
      <c r="D380" s="2017" t="s">
        <v>1629</v>
      </c>
      <c r="E380" s="2017" t="s">
        <v>1730</v>
      </c>
      <c r="F380" s="2017" t="s">
        <v>1646</v>
      </c>
      <c r="G380" s="2018">
        <v>443748357</v>
      </c>
      <c r="H380" s="2024"/>
    </row>
    <row r="381" spans="1:8" ht="15.75" customHeight="1" x14ac:dyDescent="0.25">
      <c r="A381" s="2017" t="s">
        <v>1817</v>
      </c>
      <c r="B381" s="2017" t="s">
        <v>1592</v>
      </c>
      <c r="C381" s="2017" t="s">
        <v>1620</v>
      </c>
      <c r="D381" s="2017" t="s">
        <v>1629</v>
      </c>
      <c r="E381" s="2017" t="s">
        <v>1730</v>
      </c>
      <c r="F381" s="2017" t="s">
        <v>1731</v>
      </c>
      <c r="G381" s="2018">
        <v>443748357</v>
      </c>
      <c r="H381" s="2024"/>
    </row>
    <row r="382" spans="1:8" ht="15.75" customHeight="1" x14ac:dyDescent="0.25">
      <c r="A382" s="2017" t="s">
        <v>1817</v>
      </c>
      <c r="B382" s="2017" t="s">
        <v>1592</v>
      </c>
      <c r="C382" s="2017" t="s">
        <v>1620</v>
      </c>
      <c r="D382" s="2017" t="s">
        <v>1629</v>
      </c>
      <c r="E382" s="2017" t="s">
        <v>1732</v>
      </c>
      <c r="F382" s="2017" t="s">
        <v>1646</v>
      </c>
      <c r="G382" s="2018">
        <v>108108000</v>
      </c>
      <c r="H382" s="2024"/>
    </row>
    <row r="383" spans="1:8" ht="15.75" customHeight="1" x14ac:dyDescent="0.25">
      <c r="A383" s="2017" t="s">
        <v>1817</v>
      </c>
      <c r="B383" s="2017" t="s">
        <v>1592</v>
      </c>
      <c r="C383" s="2017" t="s">
        <v>1620</v>
      </c>
      <c r="D383" s="2017" t="s">
        <v>1629</v>
      </c>
      <c r="E383" s="2017" t="s">
        <v>1732</v>
      </c>
      <c r="F383" s="2017" t="s">
        <v>1733</v>
      </c>
      <c r="G383" s="2018">
        <v>108108000</v>
      </c>
      <c r="H383" s="2024"/>
    </row>
    <row r="384" spans="1:8" ht="15.75" customHeight="1" x14ac:dyDescent="0.25">
      <c r="A384" s="2017" t="s">
        <v>1817</v>
      </c>
      <c r="B384" s="2017" t="s">
        <v>1592</v>
      </c>
      <c r="C384" s="2017" t="s">
        <v>1620</v>
      </c>
      <c r="D384" s="2017" t="s">
        <v>1629</v>
      </c>
      <c r="E384" s="2017" t="s">
        <v>1607</v>
      </c>
      <c r="F384" s="2017" t="s">
        <v>1646</v>
      </c>
      <c r="G384" s="2018">
        <v>43930224</v>
      </c>
      <c r="H384" s="2024"/>
    </row>
    <row r="385" spans="1:8" ht="15.75" customHeight="1" x14ac:dyDescent="0.25">
      <c r="A385" s="2017" t="s">
        <v>1817</v>
      </c>
      <c r="B385" s="2017" t="s">
        <v>1592</v>
      </c>
      <c r="C385" s="2017" t="s">
        <v>1620</v>
      </c>
      <c r="D385" s="2017" t="s">
        <v>1629</v>
      </c>
      <c r="E385" s="2017" t="s">
        <v>1607</v>
      </c>
      <c r="F385" s="2017" t="s">
        <v>1734</v>
      </c>
      <c r="G385" s="2018">
        <v>3510000</v>
      </c>
      <c r="H385" s="2024"/>
    </row>
    <row r="386" spans="1:8" ht="15.75" customHeight="1" x14ac:dyDescent="0.25">
      <c r="A386" s="2017" t="s">
        <v>1817</v>
      </c>
      <c r="B386" s="2017" t="s">
        <v>1592</v>
      </c>
      <c r="C386" s="2017" t="s">
        <v>1620</v>
      </c>
      <c r="D386" s="2017" t="s">
        <v>1629</v>
      </c>
      <c r="E386" s="2017" t="s">
        <v>1607</v>
      </c>
      <c r="F386" s="2017" t="s">
        <v>1735</v>
      </c>
      <c r="G386" s="2018">
        <v>35100000</v>
      </c>
      <c r="H386" s="2024"/>
    </row>
    <row r="387" spans="1:8" ht="15.75" customHeight="1" x14ac:dyDescent="0.25">
      <c r="A387" s="2017" t="s">
        <v>1817</v>
      </c>
      <c r="B387" s="2017" t="s">
        <v>1592</v>
      </c>
      <c r="C387" s="2017" t="s">
        <v>1620</v>
      </c>
      <c r="D387" s="2017" t="s">
        <v>1629</v>
      </c>
      <c r="E387" s="2017" t="s">
        <v>1607</v>
      </c>
      <c r="F387" s="2017" t="s">
        <v>1726</v>
      </c>
      <c r="G387" s="2018">
        <v>5320224</v>
      </c>
      <c r="H387" s="2024"/>
    </row>
    <row r="388" spans="1:8" ht="15.75" customHeight="1" x14ac:dyDescent="0.25">
      <c r="A388" s="2017" t="s">
        <v>1817</v>
      </c>
      <c r="B388" s="2017" t="s">
        <v>1592</v>
      </c>
      <c r="C388" s="2017" t="s">
        <v>1620</v>
      </c>
      <c r="D388" s="2017" t="s">
        <v>1629</v>
      </c>
      <c r="E388" s="2017" t="s">
        <v>1741</v>
      </c>
      <c r="F388" s="2017" t="s">
        <v>1646</v>
      </c>
      <c r="G388" s="2018">
        <v>95500000</v>
      </c>
      <c r="H388" s="2024"/>
    </row>
    <row r="389" spans="1:8" ht="15.75" customHeight="1" x14ac:dyDescent="0.25">
      <c r="A389" s="2017" t="s">
        <v>1817</v>
      </c>
      <c r="B389" s="2017" t="s">
        <v>1592</v>
      </c>
      <c r="C389" s="2017" t="s">
        <v>1620</v>
      </c>
      <c r="D389" s="2017" t="s">
        <v>1629</v>
      </c>
      <c r="E389" s="2017" t="s">
        <v>1741</v>
      </c>
      <c r="F389" s="2017" t="s">
        <v>1742</v>
      </c>
      <c r="G389" s="2018">
        <v>95500000</v>
      </c>
      <c r="H389" s="2024"/>
    </row>
    <row r="390" spans="1:8" ht="15.75" customHeight="1" x14ac:dyDescent="0.25">
      <c r="A390" s="2017" t="s">
        <v>1817</v>
      </c>
      <c r="B390" s="2017" t="s">
        <v>1592</v>
      </c>
      <c r="C390" s="2017" t="s">
        <v>1620</v>
      </c>
      <c r="D390" s="2017" t="s">
        <v>1629</v>
      </c>
      <c r="E390" s="2017" t="s">
        <v>1743</v>
      </c>
      <c r="F390" s="2017" t="s">
        <v>1646</v>
      </c>
      <c r="G390" s="2018">
        <v>125998643</v>
      </c>
      <c r="H390" s="2024"/>
    </row>
    <row r="391" spans="1:8" ht="15.75" customHeight="1" x14ac:dyDescent="0.25">
      <c r="A391" s="2017" t="s">
        <v>1817</v>
      </c>
      <c r="B391" s="2017" t="s">
        <v>1592</v>
      </c>
      <c r="C391" s="2017" t="s">
        <v>1620</v>
      </c>
      <c r="D391" s="2017" t="s">
        <v>1629</v>
      </c>
      <c r="E391" s="2017" t="s">
        <v>1743</v>
      </c>
      <c r="F391" s="2017" t="s">
        <v>1744</v>
      </c>
      <c r="G391" s="2018">
        <v>103654115</v>
      </c>
      <c r="H391" s="2024"/>
    </row>
    <row r="392" spans="1:8" ht="15.75" customHeight="1" x14ac:dyDescent="0.25">
      <c r="A392" s="2017" t="s">
        <v>1817</v>
      </c>
      <c r="B392" s="2017" t="s">
        <v>1592</v>
      </c>
      <c r="C392" s="2017" t="s">
        <v>1620</v>
      </c>
      <c r="D392" s="2017" t="s">
        <v>1629</v>
      </c>
      <c r="E392" s="2017" t="s">
        <v>1743</v>
      </c>
      <c r="F392" s="2017" t="s">
        <v>1745</v>
      </c>
      <c r="G392" s="2018">
        <v>16758396</v>
      </c>
      <c r="H392" s="2024"/>
    </row>
    <row r="393" spans="1:8" ht="15.75" customHeight="1" x14ac:dyDescent="0.25">
      <c r="A393" s="2017" t="s">
        <v>1817</v>
      </c>
      <c r="B393" s="2017" t="s">
        <v>1592</v>
      </c>
      <c r="C393" s="2017" t="s">
        <v>1620</v>
      </c>
      <c r="D393" s="2017" t="s">
        <v>1629</v>
      </c>
      <c r="E393" s="2017" t="s">
        <v>1743</v>
      </c>
      <c r="F393" s="2017" t="s">
        <v>1747</v>
      </c>
      <c r="G393" s="2018">
        <v>5586132</v>
      </c>
      <c r="H393" s="2024"/>
    </row>
    <row r="394" spans="1:8" ht="15.75" customHeight="1" x14ac:dyDescent="0.25">
      <c r="A394" s="2017" t="s">
        <v>1817</v>
      </c>
      <c r="B394" s="2017" t="s">
        <v>1592</v>
      </c>
      <c r="C394" s="2017" t="s">
        <v>1620</v>
      </c>
      <c r="D394" s="2017" t="s">
        <v>1629</v>
      </c>
      <c r="E394" s="2017" t="s">
        <v>1727</v>
      </c>
      <c r="F394" s="2017" t="s">
        <v>1646</v>
      </c>
      <c r="G394" s="2018">
        <v>36900000</v>
      </c>
      <c r="H394" s="2024"/>
    </row>
    <row r="395" spans="1:8" ht="15.75" customHeight="1" x14ac:dyDescent="0.25">
      <c r="A395" s="2017" t="s">
        <v>1817</v>
      </c>
      <c r="B395" s="2017" t="s">
        <v>1592</v>
      </c>
      <c r="C395" s="2017" t="s">
        <v>1620</v>
      </c>
      <c r="D395" s="2017" t="s">
        <v>1629</v>
      </c>
      <c r="E395" s="2017" t="s">
        <v>1727</v>
      </c>
      <c r="F395" s="2017" t="s">
        <v>1786</v>
      </c>
      <c r="G395" s="2018">
        <v>36900000</v>
      </c>
      <c r="H395" s="2024"/>
    </row>
    <row r="396" spans="1:8" ht="15.75" customHeight="1" x14ac:dyDescent="0.25">
      <c r="A396" s="2017" t="s">
        <v>1817</v>
      </c>
      <c r="B396" s="2017" t="s">
        <v>1592</v>
      </c>
      <c r="C396" s="2017" t="s">
        <v>1620</v>
      </c>
      <c r="D396" s="2017" t="s">
        <v>1629</v>
      </c>
      <c r="E396" s="2017" t="s">
        <v>1748</v>
      </c>
      <c r="F396" s="2017" t="s">
        <v>1646</v>
      </c>
      <c r="G396" s="2018">
        <v>18982554</v>
      </c>
      <c r="H396" s="2024"/>
    </row>
    <row r="397" spans="1:8" ht="15.75" customHeight="1" x14ac:dyDescent="0.25">
      <c r="A397" s="2017" t="s">
        <v>1817</v>
      </c>
      <c r="B397" s="2017" t="s">
        <v>1592</v>
      </c>
      <c r="C397" s="2017" t="s">
        <v>1620</v>
      </c>
      <c r="D397" s="2017" t="s">
        <v>1629</v>
      </c>
      <c r="E397" s="2017" t="s">
        <v>1748</v>
      </c>
      <c r="F397" s="2017" t="s">
        <v>1767</v>
      </c>
      <c r="G397" s="2018">
        <v>18982554</v>
      </c>
      <c r="H397" s="2024"/>
    </row>
    <row r="398" spans="1:8" ht="15.75" customHeight="1" x14ac:dyDescent="0.25">
      <c r="A398" s="2017" t="s">
        <v>1817</v>
      </c>
      <c r="B398" s="2017" t="s">
        <v>1592</v>
      </c>
      <c r="C398" s="2017" t="s">
        <v>1620</v>
      </c>
      <c r="D398" s="2017" t="s">
        <v>1629</v>
      </c>
      <c r="E398" s="2017" t="s">
        <v>1751</v>
      </c>
      <c r="F398" s="2017" t="s">
        <v>1646</v>
      </c>
      <c r="G398" s="2018">
        <v>4937992</v>
      </c>
      <c r="H398" s="2024"/>
    </row>
    <row r="399" spans="1:8" ht="15.75" customHeight="1" x14ac:dyDescent="0.25">
      <c r="A399" s="2017" t="s">
        <v>1817</v>
      </c>
      <c r="B399" s="2017" t="s">
        <v>1592</v>
      </c>
      <c r="C399" s="2017" t="s">
        <v>1620</v>
      </c>
      <c r="D399" s="2017" t="s">
        <v>1629</v>
      </c>
      <c r="E399" s="2017" t="s">
        <v>1751</v>
      </c>
      <c r="F399" s="2017" t="s">
        <v>1752</v>
      </c>
      <c r="G399" s="2018">
        <v>2086742</v>
      </c>
      <c r="H399" s="2024"/>
    </row>
    <row r="400" spans="1:8" ht="15.75" customHeight="1" x14ac:dyDescent="0.25">
      <c r="A400" s="2017" t="s">
        <v>1817</v>
      </c>
      <c r="B400" s="2017" t="s">
        <v>1592</v>
      </c>
      <c r="C400" s="2017" t="s">
        <v>1620</v>
      </c>
      <c r="D400" s="2017" t="s">
        <v>1629</v>
      </c>
      <c r="E400" s="2017" t="s">
        <v>1751</v>
      </c>
      <c r="F400" s="2017" t="s">
        <v>1787</v>
      </c>
      <c r="G400" s="2018">
        <v>2851250</v>
      </c>
      <c r="H400" s="2024"/>
    </row>
    <row r="401" spans="1:8" ht="15.75" customHeight="1" x14ac:dyDescent="0.25">
      <c r="A401" s="2017" t="s">
        <v>1817</v>
      </c>
      <c r="B401" s="2017" t="s">
        <v>1592</v>
      </c>
      <c r="C401" s="2017" t="s">
        <v>1620</v>
      </c>
      <c r="D401" s="2017" t="s">
        <v>1629</v>
      </c>
      <c r="E401" s="2017" t="s">
        <v>1623</v>
      </c>
      <c r="F401" s="2017" t="s">
        <v>1646</v>
      </c>
      <c r="G401" s="2018">
        <v>22447000</v>
      </c>
      <c r="H401" s="2024"/>
    </row>
    <row r="402" spans="1:8" ht="15.75" customHeight="1" x14ac:dyDescent="0.25">
      <c r="A402" s="2017" t="s">
        <v>1817</v>
      </c>
      <c r="B402" s="2017" t="s">
        <v>1592</v>
      </c>
      <c r="C402" s="2017" t="s">
        <v>1620</v>
      </c>
      <c r="D402" s="2017" t="s">
        <v>1629</v>
      </c>
      <c r="E402" s="2017" t="s">
        <v>1623</v>
      </c>
      <c r="F402" s="2017" t="s">
        <v>1624</v>
      </c>
      <c r="G402" s="2018">
        <v>21047000</v>
      </c>
      <c r="H402" s="2024"/>
    </row>
    <row r="403" spans="1:8" ht="15.75" customHeight="1" x14ac:dyDescent="0.25">
      <c r="A403" s="2017" t="s">
        <v>1817</v>
      </c>
      <c r="B403" s="2017" t="s">
        <v>1592</v>
      </c>
      <c r="C403" s="2017" t="s">
        <v>1620</v>
      </c>
      <c r="D403" s="2017" t="s">
        <v>1629</v>
      </c>
      <c r="E403" s="2017" t="s">
        <v>1623</v>
      </c>
      <c r="F403" s="2017" t="s">
        <v>1634</v>
      </c>
      <c r="G403" s="2018">
        <v>1400000</v>
      </c>
      <c r="H403" s="2024"/>
    </row>
    <row r="404" spans="1:8" ht="15.75" customHeight="1" x14ac:dyDescent="0.25">
      <c r="A404" s="2017" t="s">
        <v>1817</v>
      </c>
      <c r="B404" s="2017" t="s">
        <v>1592</v>
      </c>
      <c r="C404" s="2017" t="s">
        <v>1620</v>
      </c>
      <c r="D404" s="2017" t="s">
        <v>1629</v>
      </c>
      <c r="E404" s="2017" t="s">
        <v>1652</v>
      </c>
      <c r="F404" s="2017" t="s">
        <v>1646</v>
      </c>
      <c r="G404" s="2018">
        <v>35218540</v>
      </c>
      <c r="H404" s="2024"/>
    </row>
    <row r="405" spans="1:8" ht="15.75" customHeight="1" x14ac:dyDescent="0.25">
      <c r="A405" s="2017" t="s">
        <v>1817</v>
      </c>
      <c r="B405" s="2017" t="s">
        <v>1592</v>
      </c>
      <c r="C405" s="2017" t="s">
        <v>1620</v>
      </c>
      <c r="D405" s="2017" t="s">
        <v>1629</v>
      </c>
      <c r="E405" s="2017" t="s">
        <v>1652</v>
      </c>
      <c r="F405" s="2017" t="s">
        <v>1755</v>
      </c>
      <c r="G405" s="2018">
        <v>13440000</v>
      </c>
      <c r="H405" s="2024"/>
    </row>
    <row r="406" spans="1:8" ht="15.75" customHeight="1" x14ac:dyDescent="0.25">
      <c r="A406" s="2017" t="s">
        <v>1817</v>
      </c>
      <c r="B406" s="2017" t="s">
        <v>1592</v>
      </c>
      <c r="C406" s="2017" t="s">
        <v>1620</v>
      </c>
      <c r="D406" s="2017" t="s">
        <v>1629</v>
      </c>
      <c r="E406" s="2017" t="s">
        <v>1652</v>
      </c>
      <c r="F406" s="2017" t="s">
        <v>1653</v>
      </c>
      <c r="G406" s="2018">
        <v>21778540</v>
      </c>
      <c r="H406" s="2024"/>
    </row>
    <row r="407" spans="1:8" ht="15.75" customHeight="1" x14ac:dyDescent="0.25">
      <c r="A407" s="2017" t="s">
        <v>1817</v>
      </c>
      <c r="B407" s="2017" t="s">
        <v>1592</v>
      </c>
      <c r="C407" s="2017" t="s">
        <v>1620</v>
      </c>
      <c r="D407" s="2017" t="s">
        <v>1629</v>
      </c>
      <c r="E407" s="2017" t="s">
        <v>1654</v>
      </c>
      <c r="F407" s="2017" t="s">
        <v>1646</v>
      </c>
      <c r="G407" s="2018">
        <v>799090000</v>
      </c>
      <c r="H407" s="2024"/>
    </row>
    <row r="408" spans="1:8" ht="15.75" customHeight="1" x14ac:dyDescent="0.25">
      <c r="A408" s="2017" t="s">
        <v>1817</v>
      </c>
      <c r="B408" s="2017" t="s">
        <v>1592</v>
      </c>
      <c r="C408" s="2017" t="s">
        <v>1620</v>
      </c>
      <c r="D408" s="2017" t="s">
        <v>1629</v>
      </c>
      <c r="E408" s="2017" t="s">
        <v>1654</v>
      </c>
      <c r="F408" s="2017" t="s">
        <v>1663</v>
      </c>
      <c r="G408" s="2018">
        <v>6000000</v>
      </c>
      <c r="H408" s="2024"/>
    </row>
    <row r="409" spans="1:8" ht="15.75" customHeight="1" x14ac:dyDescent="0.25">
      <c r="A409" s="2017" t="s">
        <v>1817</v>
      </c>
      <c r="B409" s="2017" t="s">
        <v>1592</v>
      </c>
      <c r="C409" s="2017" t="s">
        <v>1620</v>
      </c>
      <c r="D409" s="2017" t="s">
        <v>1629</v>
      </c>
      <c r="E409" s="2017" t="s">
        <v>1654</v>
      </c>
      <c r="F409" s="2017" t="s">
        <v>1655</v>
      </c>
      <c r="G409" s="2018">
        <v>793090000</v>
      </c>
      <c r="H409" s="2024"/>
    </row>
    <row r="410" spans="1:8" ht="15.75" customHeight="1" x14ac:dyDescent="0.25">
      <c r="A410" s="2017" t="s">
        <v>1817</v>
      </c>
      <c r="B410" s="2017" t="s">
        <v>1592</v>
      </c>
      <c r="C410" s="2017" t="s">
        <v>1620</v>
      </c>
      <c r="D410" s="2017" t="s">
        <v>1629</v>
      </c>
      <c r="E410" s="2017" t="s">
        <v>1602</v>
      </c>
      <c r="F410" s="2017" t="s">
        <v>1646</v>
      </c>
      <c r="G410" s="2018">
        <v>48525200</v>
      </c>
      <c r="H410" s="2024"/>
    </row>
    <row r="411" spans="1:8" ht="15.75" customHeight="1" x14ac:dyDescent="0.25">
      <c r="A411" s="2017" t="s">
        <v>1817</v>
      </c>
      <c r="B411" s="2017" t="s">
        <v>1592</v>
      </c>
      <c r="C411" s="2017" t="s">
        <v>1620</v>
      </c>
      <c r="D411" s="2017" t="s">
        <v>1629</v>
      </c>
      <c r="E411" s="2017" t="s">
        <v>1602</v>
      </c>
      <c r="F411" s="2017" t="s">
        <v>1790</v>
      </c>
      <c r="G411" s="2018">
        <v>8110000</v>
      </c>
      <c r="H411" s="2024"/>
    </row>
    <row r="412" spans="1:8" ht="15.75" customHeight="1" x14ac:dyDescent="0.25">
      <c r="A412" s="2017" t="s">
        <v>1817</v>
      </c>
      <c r="B412" s="2017" t="s">
        <v>1592</v>
      </c>
      <c r="C412" s="2017" t="s">
        <v>1620</v>
      </c>
      <c r="D412" s="2017" t="s">
        <v>1629</v>
      </c>
      <c r="E412" s="2017" t="s">
        <v>1602</v>
      </c>
      <c r="F412" s="2017" t="s">
        <v>1827</v>
      </c>
      <c r="G412" s="2018">
        <v>16485000</v>
      </c>
      <c r="H412" s="2024"/>
    </row>
    <row r="413" spans="1:8" ht="15.75" customHeight="1" x14ac:dyDescent="0.25">
      <c r="A413" s="2017" t="s">
        <v>1817</v>
      </c>
      <c r="B413" s="2017" t="s">
        <v>1592</v>
      </c>
      <c r="C413" s="2017" t="s">
        <v>1620</v>
      </c>
      <c r="D413" s="2017" t="s">
        <v>1629</v>
      </c>
      <c r="E413" s="2017" t="s">
        <v>1602</v>
      </c>
      <c r="F413" s="2017" t="s">
        <v>1680</v>
      </c>
      <c r="G413" s="2018">
        <v>9880200</v>
      </c>
      <c r="H413" s="2024"/>
    </row>
    <row r="414" spans="1:8" ht="15.75" customHeight="1" x14ac:dyDescent="0.25">
      <c r="A414" s="2017" t="s">
        <v>1817</v>
      </c>
      <c r="B414" s="2017" t="s">
        <v>1592</v>
      </c>
      <c r="C414" s="2017" t="s">
        <v>1620</v>
      </c>
      <c r="D414" s="2017" t="s">
        <v>1629</v>
      </c>
      <c r="E414" s="2017" t="s">
        <v>1602</v>
      </c>
      <c r="F414" s="2017" t="s">
        <v>1759</v>
      </c>
      <c r="G414" s="2018">
        <v>14050000</v>
      </c>
      <c r="H414" s="2024"/>
    </row>
    <row r="415" spans="1:8" ht="15.75" customHeight="1" x14ac:dyDescent="0.25">
      <c r="A415" s="2017" t="s">
        <v>1817</v>
      </c>
      <c r="B415" s="2017" t="s">
        <v>1592</v>
      </c>
      <c r="C415" s="2017" t="s">
        <v>1620</v>
      </c>
      <c r="D415" s="2017" t="s">
        <v>1629</v>
      </c>
      <c r="E415" s="2017" t="s">
        <v>1630</v>
      </c>
      <c r="F415" s="2017" t="s">
        <v>1646</v>
      </c>
      <c r="G415" s="2018">
        <v>21470400</v>
      </c>
      <c r="H415" s="2024"/>
    </row>
    <row r="416" spans="1:8" ht="15.75" customHeight="1" x14ac:dyDescent="0.25">
      <c r="A416" s="2017" t="s">
        <v>1817</v>
      </c>
      <c r="B416" s="2017" t="s">
        <v>1592</v>
      </c>
      <c r="C416" s="2017" t="s">
        <v>1620</v>
      </c>
      <c r="D416" s="2017" t="s">
        <v>1629</v>
      </c>
      <c r="E416" s="2017" t="s">
        <v>1630</v>
      </c>
      <c r="F416" s="2017" t="s">
        <v>1640</v>
      </c>
      <c r="G416" s="2018">
        <v>21470400</v>
      </c>
      <c r="H416" s="2024"/>
    </row>
    <row r="417" spans="1:8" ht="15.75" customHeight="1" x14ac:dyDescent="0.25">
      <c r="A417" s="2017" t="s">
        <v>1817</v>
      </c>
      <c r="B417" s="2017" t="s">
        <v>1592</v>
      </c>
      <c r="C417" s="2017" t="s">
        <v>1620</v>
      </c>
      <c r="D417" s="2017" t="s">
        <v>1629</v>
      </c>
      <c r="E417" s="2017" t="s">
        <v>1618</v>
      </c>
      <c r="F417" s="2017" t="s">
        <v>1646</v>
      </c>
      <c r="G417" s="2018">
        <v>862048000</v>
      </c>
      <c r="H417" s="2024"/>
    </row>
    <row r="418" spans="1:8" ht="15.75" customHeight="1" x14ac:dyDescent="0.25">
      <c r="A418" s="2017" t="s">
        <v>1817</v>
      </c>
      <c r="B418" s="2017" t="s">
        <v>1592</v>
      </c>
      <c r="C418" s="2017" t="s">
        <v>1620</v>
      </c>
      <c r="D418" s="2017" t="s">
        <v>1629</v>
      </c>
      <c r="E418" s="2017" t="s">
        <v>1618</v>
      </c>
      <c r="F418" s="2017" t="s">
        <v>1622</v>
      </c>
      <c r="G418" s="2018">
        <v>862048000</v>
      </c>
      <c r="H418" s="2024"/>
    </row>
    <row r="419" spans="1:8" ht="15.75" customHeight="1" x14ac:dyDescent="0.25">
      <c r="A419" s="2017" t="s">
        <v>1817</v>
      </c>
      <c r="B419" s="2017" t="s">
        <v>1592</v>
      </c>
      <c r="C419" s="2017" t="s">
        <v>1620</v>
      </c>
      <c r="D419" s="2017" t="s">
        <v>1629</v>
      </c>
      <c r="E419" s="2017" t="s">
        <v>1791</v>
      </c>
      <c r="F419" s="2017" t="s">
        <v>1646</v>
      </c>
      <c r="G419" s="2018">
        <v>11000000</v>
      </c>
      <c r="H419" s="2024"/>
    </row>
    <row r="420" spans="1:8" ht="15.75" customHeight="1" x14ac:dyDescent="0.25">
      <c r="A420" s="2017" t="s">
        <v>1817</v>
      </c>
      <c r="B420" s="2017" t="s">
        <v>1592</v>
      </c>
      <c r="C420" s="2017" t="s">
        <v>1620</v>
      </c>
      <c r="D420" s="2017" t="s">
        <v>1629</v>
      </c>
      <c r="E420" s="2017" t="s">
        <v>1791</v>
      </c>
      <c r="F420" s="2017" t="s">
        <v>1792</v>
      </c>
      <c r="G420" s="2018">
        <v>11000000</v>
      </c>
      <c r="H420" s="2024"/>
    </row>
    <row r="421" spans="1:8" ht="15.75" customHeight="1" x14ac:dyDescent="0.25">
      <c r="A421" s="2017" t="s">
        <v>1817</v>
      </c>
      <c r="B421" s="2017" t="s">
        <v>1592</v>
      </c>
      <c r="C421" s="2017" t="s">
        <v>1620</v>
      </c>
      <c r="D421" s="2017" t="s">
        <v>1629</v>
      </c>
      <c r="E421" s="2017" t="s">
        <v>1615</v>
      </c>
      <c r="F421" s="2017" t="s">
        <v>1646</v>
      </c>
      <c r="G421" s="2018">
        <v>85266280</v>
      </c>
      <c r="H421" s="2024"/>
    </row>
    <row r="422" spans="1:8" ht="15.75" customHeight="1" x14ac:dyDescent="0.25">
      <c r="A422" s="2017" t="s">
        <v>1817</v>
      </c>
      <c r="B422" s="2017" t="s">
        <v>1592</v>
      </c>
      <c r="C422" s="2017" t="s">
        <v>1620</v>
      </c>
      <c r="D422" s="2017" t="s">
        <v>1629</v>
      </c>
      <c r="E422" s="2017" t="s">
        <v>1615</v>
      </c>
      <c r="F422" s="2017" t="s">
        <v>1763</v>
      </c>
      <c r="G422" s="2018">
        <v>29474080</v>
      </c>
      <c r="H422" s="2024"/>
    </row>
    <row r="423" spans="1:8" ht="15.75" customHeight="1" x14ac:dyDescent="0.25">
      <c r="A423" s="2017" t="s">
        <v>1817</v>
      </c>
      <c r="B423" s="2017" t="s">
        <v>1592</v>
      </c>
      <c r="C423" s="2017" t="s">
        <v>1620</v>
      </c>
      <c r="D423" s="2017" t="s">
        <v>1629</v>
      </c>
      <c r="E423" s="2017" t="s">
        <v>1615</v>
      </c>
      <c r="F423" s="2017" t="s">
        <v>1616</v>
      </c>
      <c r="G423" s="2018">
        <v>55792200</v>
      </c>
      <c r="H423" s="2024"/>
    </row>
    <row r="424" spans="1:8" ht="15.75" customHeight="1" x14ac:dyDescent="0.25">
      <c r="A424" s="2017" t="s">
        <v>1817</v>
      </c>
      <c r="B424" s="2017" t="s">
        <v>1592</v>
      </c>
      <c r="C424" s="2017" t="s">
        <v>1620</v>
      </c>
      <c r="D424" s="2017" t="s">
        <v>1621</v>
      </c>
      <c r="E424" s="2017" t="s">
        <v>1646</v>
      </c>
      <c r="F424" s="2017" t="s">
        <v>1646</v>
      </c>
      <c r="G424" s="2018">
        <v>1422408269</v>
      </c>
      <c r="H424" s="2024"/>
    </row>
    <row r="425" spans="1:8" ht="15.75" customHeight="1" x14ac:dyDescent="0.25">
      <c r="A425" s="2017" t="s">
        <v>1817</v>
      </c>
      <c r="B425" s="2017" t="s">
        <v>1592</v>
      </c>
      <c r="C425" s="2017" t="s">
        <v>1620</v>
      </c>
      <c r="D425" s="2017" t="s">
        <v>1621</v>
      </c>
      <c r="E425" s="2017" t="s">
        <v>1730</v>
      </c>
      <c r="F425" s="2017" t="s">
        <v>1646</v>
      </c>
      <c r="G425" s="2018">
        <v>721354086</v>
      </c>
      <c r="H425" s="2024"/>
    </row>
    <row r="426" spans="1:8" ht="15.75" customHeight="1" x14ac:dyDescent="0.25">
      <c r="A426" s="2017" t="s">
        <v>1817</v>
      </c>
      <c r="B426" s="2017" t="s">
        <v>1592</v>
      </c>
      <c r="C426" s="2017" t="s">
        <v>1620</v>
      </c>
      <c r="D426" s="2017" t="s">
        <v>1621</v>
      </c>
      <c r="E426" s="2017" t="s">
        <v>1730</v>
      </c>
      <c r="F426" s="2017" t="s">
        <v>1731</v>
      </c>
      <c r="G426" s="2018">
        <v>721354086</v>
      </c>
      <c r="H426" s="2024"/>
    </row>
    <row r="427" spans="1:8" ht="15.75" customHeight="1" x14ac:dyDescent="0.25">
      <c r="A427" s="2017" t="s">
        <v>1817</v>
      </c>
      <c r="B427" s="2017" t="s">
        <v>1592</v>
      </c>
      <c r="C427" s="2017" t="s">
        <v>1620</v>
      </c>
      <c r="D427" s="2017" t="s">
        <v>1621</v>
      </c>
      <c r="E427" s="2017" t="s">
        <v>1607</v>
      </c>
      <c r="F427" s="2017" t="s">
        <v>1646</v>
      </c>
      <c r="G427" s="2018">
        <v>121970474</v>
      </c>
      <c r="H427" s="2024"/>
    </row>
    <row r="428" spans="1:8" ht="15.75" customHeight="1" x14ac:dyDescent="0.25">
      <c r="A428" s="2017" t="s">
        <v>1817</v>
      </c>
      <c r="B428" s="2017" t="s">
        <v>1592</v>
      </c>
      <c r="C428" s="2017" t="s">
        <v>1620</v>
      </c>
      <c r="D428" s="2017" t="s">
        <v>1621</v>
      </c>
      <c r="E428" s="2017" t="s">
        <v>1607</v>
      </c>
      <c r="F428" s="2017" t="s">
        <v>1734</v>
      </c>
      <c r="G428" s="2018">
        <v>3510000</v>
      </c>
      <c r="H428" s="2024"/>
    </row>
    <row r="429" spans="1:8" ht="15.75" customHeight="1" x14ac:dyDescent="0.25">
      <c r="A429" s="2017" t="s">
        <v>1817</v>
      </c>
      <c r="B429" s="2017" t="s">
        <v>1592</v>
      </c>
      <c r="C429" s="2017" t="s">
        <v>1620</v>
      </c>
      <c r="D429" s="2017" t="s">
        <v>1621</v>
      </c>
      <c r="E429" s="2017" t="s">
        <v>1607</v>
      </c>
      <c r="F429" s="2017" t="s">
        <v>1735</v>
      </c>
      <c r="G429" s="2018">
        <v>54756000</v>
      </c>
      <c r="H429" s="2024"/>
    </row>
    <row r="430" spans="1:8" ht="15.75" customHeight="1" x14ac:dyDescent="0.25">
      <c r="A430" s="2017" t="s">
        <v>1817</v>
      </c>
      <c r="B430" s="2017" t="s">
        <v>1592</v>
      </c>
      <c r="C430" s="2017" t="s">
        <v>1620</v>
      </c>
      <c r="D430" s="2017" t="s">
        <v>1621</v>
      </c>
      <c r="E430" s="2017" t="s">
        <v>1607</v>
      </c>
      <c r="F430" s="2017" t="s">
        <v>1608</v>
      </c>
      <c r="G430" s="2018">
        <v>52494002</v>
      </c>
      <c r="H430" s="2024"/>
    </row>
    <row r="431" spans="1:8" ht="15.75" customHeight="1" x14ac:dyDescent="0.25">
      <c r="A431" s="2017" t="s">
        <v>1817</v>
      </c>
      <c r="B431" s="2017" t="s">
        <v>1592</v>
      </c>
      <c r="C431" s="2017" t="s">
        <v>1620</v>
      </c>
      <c r="D431" s="2017" t="s">
        <v>1621</v>
      </c>
      <c r="E431" s="2017" t="s">
        <v>1607</v>
      </c>
      <c r="F431" s="2017" t="s">
        <v>1726</v>
      </c>
      <c r="G431" s="2018">
        <v>11210472</v>
      </c>
      <c r="H431" s="2024"/>
    </row>
    <row r="432" spans="1:8" ht="15.75" customHeight="1" x14ac:dyDescent="0.25">
      <c r="A432" s="2017" t="s">
        <v>1817</v>
      </c>
      <c r="B432" s="2017" t="s">
        <v>1592</v>
      </c>
      <c r="C432" s="2017" t="s">
        <v>1620</v>
      </c>
      <c r="D432" s="2017" t="s">
        <v>1621</v>
      </c>
      <c r="E432" s="2017" t="s">
        <v>1784</v>
      </c>
      <c r="F432" s="2017" t="s">
        <v>1646</v>
      </c>
      <c r="G432" s="2018">
        <v>52000000</v>
      </c>
      <c r="H432" s="2024"/>
    </row>
    <row r="433" spans="1:8" ht="15.75" customHeight="1" x14ac:dyDescent="0.25">
      <c r="A433" s="2017" t="s">
        <v>1817</v>
      </c>
      <c r="B433" s="2017" t="s">
        <v>1592</v>
      </c>
      <c r="C433" s="2017" t="s">
        <v>1620</v>
      </c>
      <c r="D433" s="2017" t="s">
        <v>1621</v>
      </c>
      <c r="E433" s="2017" t="s">
        <v>1784</v>
      </c>
      <c r="F433" s="2017" t="s">
        <v>1785</v>
      </c>
      <c r="G433" s="2018">
        <v>52000000</v>
      </c>
      <c r="H433" s="2024"/>
    </row>
    <row r="434" spans="1:8" ht="15.75" customHeight="1" x14ac:dyDescent="0.25">
      <c r="A434" s="2017" t="s">
        <v>1817</v>
      </c>
      <c r="B434" s="2017" t="s">
        <v>1592</v>
      </c>
      <c r="C434" s="2017" t="s">
        <v>1620</v>
      </c>
      <c r="D434" s="2017" t="s">
        <v>1621</v>
      </c>
      <c r="E434" s="2017" t="s">
        <v>1743</v>
      </c>
      <c r="F434" s="2017" t="s">
        <v>1646</v>
      </c>
      <c r="G434" s="2018">
        <v>171139296</v>
      </c>
      <c r="H434" s="2024"/>
    </row>
    <row r="435" spans="1:8" ht="15.75" customHeight="1" x14ac:dyDescent="0.25">
      <c r="A435" s="2017" t="s">
        <v>1817</v>
      </c>
      <c r="B435" s="2017" t="s">
        <v>1592</v>
      </c>
      <c r="C435" s="2017" t="s">
        <v>1620</v>
      </c>
      <c r="D435" s="2017" t="s">
        <v>1621</v>
      </c>
      <c r="E435" s="2017" t="s">
        <v>1743</v>
      </c>
      <c r="F435" s="2017" t="s">
        <v>1744</v>
      </c>
      <c r="G435" s="2018">
        <v>129458604</v>
      </c>
      <c r="H435" s="2024"/>
    </row>
    <row r="436" spans="1:8" ht="15.75" customHeight="1" x14ac:dyDescent="0.25">
      <c r="A436" s="2017" t="s">
        <v>1817</v>
      </c>
      <c r="B436" s="2017" t="s">
        <v>1592</v>
      </c>
      <c r="C436" s="2017" t="s">
        <v>1620</v>
      </c>
      <c r="D436" s="2017" t="s">
        <v>1621</v>
      </c>
      <c r="E436" s="2017" t="s">
        <v>1743</v>
      </c>
      <c r="F436" s="2017" t="s">
        <v>1745</v>
      </c>
      <c r="G436" s="2018">
        <v>22078664</v>
      </c>
      <c r="H436" s="2024"/>
    </row>
    <row r="437" spans="1:8" ht="15.75" customHeight="1" x14ac:dyDescent="0.25">
      <c r="A437" s="2017" t="s">
        <v>1817</v>
      </c>
      <c r="B437" s="2017" t="s">
        <v>1592</v>
      </c>
      <c r="C437" s="2017" t="s">
        <v>1620</v>
      </c>
      <c r="D437" s="2017" t="s">
        <v>1621</v>
      </c>
      <c r="E437" s="2017" t="s">
        <v>1743</v>
      </c>
      <c r="F437" s="2017" t="s">
        <v>1746</v>
      </c>
      <c r="G437" s="2018">
        <v>12242480</v>
      </c>
      <c r="H437" s="2024"/>
    </row>
    <row r="438" spans="1:8" ht="15.75" customHeight="1" x14ac:dyDescent="0.25">
      <c r="A438" s="2017" t="s">
        <v>1817</v>
      </c>
      <c r="B438" s="2017" t="s">
        <v>1592</v>
      </c>
      <c r="C438" s="2017" t="s">
        <v>1620</v>
      </c>
      <c r="D438" s="2017" t="s">
        <v>1621</v>
      </c>
      <c r="E438" s="2017" t="s">
        <v>1743</v>
      </c>
      <c r="F438" s="2017" t="s">
        <v>1747</v>
      </c>
      <c r="G438" s="2018">
        <v>7359548</v>
      </c>
      <c r="H438" s="2024"/>
    </row>
    <row r="439" spans="1:8" ht="15.75" customHeight="1" x14ac:dyDescent="0.25">
      <c r="A439" s="2017" t="s">
        <v>1817</v>
      </c>
      <c r="B439" s="2017" t="s">
        <v>1592</v>
      </c>
      <c r="C439" s="2017" t="s">
        <v>1620</v>
      </c>
      <c r="D439" s="2017" t="s">
        <v>1621</v>
      </c>
      <c r="E439" s="2017" t="s">
        <v>1748</v>
      </c>
      <c r="F439" s="2017" t="s">
        <v>1646</v>
      </c>
      <c r="G439" s="2018">
        <v>28849392</v>
      </c>
      <c r="H439" s="2024"/>
    </row>
    <row r="440" spans="1:8" ht="15.75" customHeight="1" x14ac:dyDescent="0.25">
      <c r="A440" s="2017" t="s">
        <v>1817</v>
      </c>
      <c r="B440" s="2017" t="s">
        <v>1592</v>
      </c>
      <c r="C440" s="2017" t="s">
        <v>1620</v>
      </c>
      <c r="D440" s="2017" t="s">
        <v>1621</v>
      </c>
      <c r="E440" s="2017" t="s">
        <v>1748</v>
      </c>
      <c r="F440" s="2017" t="s">
        <v>1767</v>
      </c>
      <c r="G440" s="2018">
        <v>28849392</v>
      </c>
      <c r="H440" s="2024"/>
    </row>
    <row r="441" spans="1:8" ht="15.75" customHeight="1" x14ac:dyDescent="0.25">
      <c r="A441" s="2017" t="s">
        <v>1817</v>
      </c>
      <c r="B441" s="2017" t="s">
        <v>1592</v>
      </c>
      <c r="C441" s="2017" t="s">
        <v>1620</v>
      </c>
      <c r="D441" s="2017" t="s">
        <v>1621</v>
      </c>
      <c r="E441" s="2017" t="s">
        <v>1751</v>
      </c>
      <c r="F441" s="2017" t="s">
        <v>1646</v>
      </c>
      <c r="G441" s="2018">
        <v>6233889</v>
      </c>
      <c r="H441" s="2024"/>
    </row>
    <row r="442" spans="1:8" ht="15.75" customHeight="1" x14ac:dyDescent="0.25">
      <c r="A442" s="2017" t="s">
        <v>1817</v>
      </c>
      <c r="B442" s="2017" t="s">
        <v>1592</v>
      </c>
      <c r="C442" s="2017" t="s">
        <v>1620</v>
      </c>
      <c r="D442" s="2017" t="s">
        <v>1621</v>
      </c>
      <c r="E442" s="2017" t="s">
        <v>1751</v>
      </c>
      <c r="F442" s="2017" t="s">
        <v>1752</v>
      </c>
      <c r="G442" s="2018">
        <v>6233889</v>
      </c>
      <c r="H442" s="2024"/>
    </row>
    <row r="443" spans="1:8" ht="15.75" customHeight="1" x14ac:dyDescent="0.25">
      <c r="A443" s="2017" t="s">
        <v>1817</v>
      </c>
      <c r="B443" s="2017" t="s">
        <v>1592</v>
      </c>
      <c r="C443" s="2017" t="s">
        <v>1620</v>
      </c>
      <c r="D443" s="2017" t="s">
        <v>1621</v>
      </c>
      <c r="E443" s="2017" t="s">
        <v>1623</v>
      </c>
      <c r="F443" s="2017" t="s">
        <v>1646</v>
      </c>
      <c r="G443" s="2018">
        <v>8691000</v>
      </c>
      <c r="H443" s="2024"/>
    </row>
    <row r="444" spans="1:8" ht="15.75" customHeight="1" x14ac:dyDescent="0.25">
      <c r="A444" s="2017" t="s">
        <v>1817</v>
      </c>
      <c r="B444" s="2017" t="s">
        <v>1592</v>
      </c>
      <c r="C444" s="2017" t="s">
        <v>1620</v>
      </c>
      <c r="D444" s="2017" t="s">
        <v>1621</v>
      </c>
      <c r="E444" s="2017" t="s">
        <v>1623</v>
      </c>
      <c r="F444" s="2017" t="s">
        <v>1624</v>
      </c>
      <c r="G444" s="2018">
        <v>8691000</v>
      </c>
      <c r="H444" s="2024"/>
    </row>
    <row r="445" spans="1:8" ht="15.75" customHeight="1" x14ac:dyDescent="0.25">
      <c r="A445" s="2017" t="s">
        <v>1817</v>
      </c>
      <c r="B445" s="2017" t="s">
        <v>1592</v>
      </c>
      <c r="C445" s="2017" t="s">
        <v>1620</v>
      </c>
      <c r="D445" s="2017" t="s">
        <v>1621</v>
      </c>
      <c r="E445" s="2017" t="s">
        <v>1652</v>
      </c>
      <c r="F445" s="2017" t="s">
        <v>1646</v>
      </c>
      <c r="G445" s="2018">
        <v>89116624</v>
      </c>
      <c r="H445" s="2024"/>
    </row>
    <row r="446" spans="1:8" ht="15.75" customHeight="1" x14ac:dyDescent="0.25">
      <c r="A446" s="2017" t="s">
        <v>1817</v>
      </c>
      <c r="B446" s="2017" t="s">
        <v>1592</v>
      </c>
      <c r="C446" s="2017" t="s">
        <v>1620</v>
      </c>
      <c r="D446" s="2017" t="s">
        <v>1621</v>
      </c>
      <c r="E446" s="2017" t="s">
        <v>1652</v>
      </c>
      <c r="F446" s="2017" t="s">
        <v>1755</v>
      </c>
      <c r="G446" s="2018">
        <v>1992000</v>
      </c>
      <c r="H446" s="2024"/>
    </row>
    <row r="447" spans="1:8" ht="15.75" customHeight="1" x14ac:dyDescent="0.25">
      <c r="A447" s="2017" t="s">
        <v>1817</v>
      </c>
      <c r="B447" s="2017" t="s">
        <v>1592</v>
      </c>
      <c r="C447" s="2017" t="s">
        <v>1620</v>
      </c>
      <c r="D447" s="2017" t="s">
        <v>1621</v>
      </c>
      <c r="E447" s="2017" t="s">
        <v>1652</v>
      </c>
      <c r="F447" s="2017" t="s">
        <v>1653</v>
      </c>
      <c r="G447" s="2018">
        <v>85093824</v>
      </c>
      <c r="H447" s="2024"/>
    </row>
    <row r="448" spans="1:8" ht="15.75" customHeight="1" x14ac:dyDescent="0.25">
      <c r="A448" s="2017" t="s">
        <v>1817</v>
      </c>
      <c r="B448" s="2017" t="s">
        <v>1592</v>
      </c>
      <c r="C448" s="2017" t="s">
        <v>1620</v>
      </c>
      <c r="D448" s="2017" t="s">
        <v>1621</v>
      </c>
      <c r="E448" s="2017" t="s">
        <v>1652</v>
      </c>
      <c r="F448" s="2017" t="s">
        <v>1789</v>
      </c>
      <c r="G448" s="2018">
        <v>2030800</v>
      </c>
      <c r="H448" s="2024"/>
    </row>
    <row r="449" spans="1:8" ht="15.75" customHeight="1" x14ac:dyDescent="0.25">
      <c r="A449" s="2017" t="s">
        <v>1817</v>
      </c>
      <c r="B449" s="2017" t="s">
        <v>1592</v>
      </c>
      <c r="C449" s="2017" t="s">
        <v>1620</v>
      </c>
      <c r="D449" s="2017" t="s">
        <v>1621</v>
      </c>
      <c r="E449" s="2017" t="s">
        <v>1609</v>
      </c>
      <c r="F449" s="2017" t="s">
        <v>1646</v>
      </c>
      <c r="G449" s="2018">
        <v>16051520</v>
      </c>
      <c r="H449" s="2024"/>
    </row>
    <row r="450" spans="1:8" ht="15.75" customHeight="1" x14ac:dyDescent="0.25">
      <c r="A450" s="2017" t="s">
        <v>1817</v>
      </c>
      <c r="B450" s="2017" t="s">
        <v>1592</v>
      </c>
      <c r="C450" s="2017" t="s">
        <v>1620</v>
      </c>
      <c r="D450" s="2017" t="s">
        <v>1621</v>
      </c>
      <c r="E450" s="2017" t="s">
        <v>1609</v>
      </c>
      <c r="F450" s="2017" t="s">
        <v>1610</v>
      </c>
      <c r="G450" s="2018">
        <v>2661120</v>
      </c>
      <c r="H450" s="2024"/>
    </row>
    <row r="451" spans="1:8" ht="15.75" customHeight="1" x14ac:dyDescent="0.25">
      <c r="A451" s="2017" t="s">
        <v>1817</v>
      </c>
      <c r="B451" s="2017" t="s">
        <v>1592</v>
      </c>
      <c r="C451" s="2017" t="s">
        <v>1620</v>
      </c>
      <c r="D451" s="2017" t="s">
        <v>1621</v>
      </c>
      <c r="E451" s="2017" t="s">
        <v>1609</v>
      </c>
      <c r="F451" s="2017" t="s">
        <v>1611</v>
      </c>
      <c r="G451" s="2018">
        <v>800000</v>
      </c>
      <c r="H451" s="2024"/>
    </row>
    <row r="452" spans="1:8" ht="15.75" customHeight="1" x14ac:dyDescent="0.25">
      <c r="A452" s="2017" t="s">
        <v>1817</v>
      </c>
      <c r="B452" s="2017" t="s">
        <v>1592</v>
      </c>
      <c r="C452" s="2017" t="s">
        <v>1620</v>
      </c>
      <c r="D452" s="2017" t="s">
        <v>1621</v>
      </c>
      <c r="E452" s="2017" t="s">
        <v>1609</v>
      </c>
      <c r="F452" s="2017" t="s">
        <v>1828</v>
      </c>
      <c r="G452" s="2018">
        <v>7800000</v>
      </c>
      <c r="H452" s="2024"/>
    </row>
    <row r="453" spans="1:8" ht="15.75" customHeight="1" x14ac:dyDescent="0.25">
      <c r="A453" s="2017" t="s">
        <v>1817</v>
      </c>
      <c r="B453" s="2017" t="s">
        <v>1592</v>
      </c>
      <c r="C453" s="2017" t="s">
        <v>1620</v>
      </c>
      <c r="D453" s="2017" t="s">
        <v>1621</v>
      </c>
      <c r="E453" s="2017" t="s">
        <v>1609</v>
      </c>
      <c r="F453" s="2017" t="s">
        <v>1612</v>
      </c>
      <c r="G453" s="2018">
        <v>4790400</v>
      </c>
      <c r="H453" s="2024"/>
    </row>
    <row r="454" spans="1:8" ht="15.75" customHeight="1" x14ac:dyDescent="0.25">
      <c r="A454" s="2017" t="s">
        <v>1817</v>
      </c>
      <c r="B454" s="2017" t="s">
        <v>1592</v>
      </c>
      <c r="C454" s="2017" t="s">
        <v>1620</v>
      </c>
      <c r="D454" s="2017" t="s">
        <v>1621</v>
      </c>
      <c r="E454" s="2017" t="s">
        <v>1660</v>
      </c>
      <c r="F454" s="2017" t="s">
        <v>1646</v>
      </c>
      <c r="G454" s="2018">
        <v>8200000</v>
      </c>
      <c r="H454" s="2024"/>
    </row>
    <row r="455" spans="1:8" ht="15.75" customHeight="1" x14ac:dyDescent="0.25">
      <c r="A455" s="2017" t="s">
        <v>1817</v>
      </c>
      <c r="B455" s="2017" t="s">
        <v>1592</v>
      </c>
      <c r="C455" s="2017" t="s">
        <v>1620</v>
      </c>
      <c r="D455" s="2017" t="s">
        <v>1621</v>
      </c>
      <c r="E455" s="2017" t="s">
        <v>1660</v>
      </c>
      <c r="F455" s="2017" t="s">
        <v>1661</v>
      </c>
      <c r="G455" s="2018">
        <v>4000000</v>
      </c>
      <c r="H455" s="2024"/>
    </row>
    <row r="456" spans="1:8" ht="15.75" customHeight="1" x14ac:dyDescent="0.25">
      <c r="A456" s="2017" t="s">
        <v>1817</v>
      </c>
      <c r="B456" s="2017" t="s">
        <v>1592</v>
      </c>
      <c r="C456" s="2017" t="s">
        <v>1620</v>
      </c>
      <c r="D456" s="2017" t="s">
        <v>1621</v>
      </c>
      <c r="E456" s="2017" t="s">
        <v>1660</v>
      </c>
      <c r="F456" s="2017" t="s">
        <v>1662</v>
      </c>
      <c r="G456" s="2018">
        <v>3600000</v>
      </c>
      <c r="H456" s="2024"/>
    </row>
    <row r="457" spans="1:8" ht="15.75" customHeight="1" x14ac:dyDescent="0.25">
      <c r="A457" s="2017" t="s">
        <v>1817</v>
      </c>
      <c r="B457" s="2017" t="s">
        <v>1592</v>
      </c>
      <c r="C457" s="2017" t="s">
        <v>1620</v>
      </c>
      <c r="D457" s="2017" t="s">
        <v>1621</v>
      </c>
      <c r="E457" s="2017" t="s">
        <v>1660</v>
      </c>
      <c r="F457" s="2017" t="s">
        <v>1768</v>
      </c>
      <c r="G457" s="2018">
        <v>600000</v>
      </c>
      <c r="H457" s="2024"/>
    </row>
    <row r="458" spans="1:8" ht="15.75" customHeight="1" x14ac:dyDescent="0.25">
      <c r="A458" s="2017" t="s">
        <v>1817</v>
      </c>
      <c r="B458" s="2017" t="s">
        <v>1592</v>
      </c>
      <c r="C458" s="2017" t="s">
        <v>1620</v>
      </c>
      <c r="D458" s="2017" t="s">
        <v>1621</v>
      </c>
      <c r="E458" s="2017" t="s">
        <v>1654</v>
      </c>
      <c r="F458" s="2017" t="s">
        <v>1646</v>
      </c>
      <c r="G458" s="2018">
        <v>24830000</v>
      </c>
      <c r="H458" s="2024"/>
    </row>
    <row r="459" spans="1:8" ht="15.75" customHeight="1" x14ac:dyDescent="0.25">
      <c r="A459" s="2017" t="s">
        <v>1817</v>
      </c>
      <c r="B459" s="2017" t="s">
        <v>1592</v>
      </c>
      <c r="C459" s="2017" t="s">
        <v>1620</v>
      </c>
      <c r="D459" s="2017" t="s">
        <v>1621</v>
      </c>
      <c r="E459" s="2017" t="s">
        <v>1654</v>
      </c>
      <c r="F459" s="2017" t="s">
        <v>1655</v>
      </c>
      <c r="G459" s="2018">
        <v>24830000</v>
      </c>
      <c r="H459" s="2024"/>
    </row>
    <row r="460" spans="1:8" ht="15.75" customHeight="1" x14ac:dyDescent="0.25">
      <c r="A460" s="2017" t="s">
        <v>1817</v>
      </c>
      <c r="B460" s="2017" t="s">
        <v>1592</v>
      </c>
      <c r="C460" s="2017" t="s">
        <v>1620</v>
      </c>
      <c r="D460" s="2017" t="s">
        <v>1621</v>
      </c>
      <c r="E460" s="2017" t="s">
        <v>1602</v>
      </c>
      <c r="F460" s="2017" t="s">
        <v>1646</v>
      </c>
      <c r="G460" s="2018">
        <v>1000000</v>
      </c>
      <c r="H460" s="2024"/>
    </row>
    <row r="461" spans="1:8" ht="15.75" customHeight="1" x14ac:dyDescent="0.25">
      <c r="A461" s="2017" t="s">
        <v>1817</v>
      </c>
      <c r="B461" s="2017" t="s">
        <v>1592</v>
      </c>
      <c r="C461" s="2017" t="s">
        <v>1620</v>
      </c>
      <c r="D461" s="2017" t="s">
        <v>1621</v>
      </c>
      <c r="E461" s="2017" t="s">
        <v>1602</v>
      </c>
      <c r="F461" s="2017" t="s">
        <v>1680</v>
      </c>
      <c r="G461" s="2018">
        <v>1000000</v>
      </c>
      <c r="H461" s="2024"/>
    </row>
    <row r="462" spans="1:8" ht="15.75" customHeight="1" x14ac:dyDescent="0.25">
      <c r="A462" s="2017" t="s">
        <v>1817</v>
      </c>
      <c r="B462" s="2017" t="s">
        <v>1592</v>
      </c>
      <c r="C462" s="2017" t="s">
        <v>1620</v>
      </c>
      <c r="D462" s="2017" t="s">
        <v>1621</v>
      </c>
      <c r="E462" s="2017" t="s">
        <v>1618</v>
      </c>
      <c r="F462" s="2017" t="s">
        <v>1646</v>
      </c>
      <c r="G462" s="2018">
        <v>131388232</v>
      </c>
      <c r="H462" s="2024"/>
    </row>
    <row r="463" spans="1:8" ht="15.75" customHeight="1" x14ac:dyDescent="0.25">
      <c r="A463" s="2017" t="s">
        <v>1817</v>
      </c>
      <c r="B463" s="2017" t="s">
        <v>1592</v>
      </c>
      <c r="C463" s="2017" t="s">
        <v>1620</v>
      </c>
      <c r="D463" s="2017" t="s">
        <v>1621</v>
      </c>
      <c r="E463" s="2017" t="s">
        <v>1618</v>
      </c>
      <c r="F463" s="2017" t="s">
        <v>1619</v>
      </c>
      <c r="G463" s="2018">
        <v>28543232</v>
      </c>
      <c r="H463" s="2024"/>
    </row>
    <row r="464" spans="1:8" ht="15.75" customHeight="1" x14ac:dyDescent="0.25">
      <c r="A464" s="2017" t="s">
        <v>1817</v>
      </c>
      <c r="B464" s="2017" t="s">
        <v>1592</v>
      </c>
      <c r="C464" s="2017" t="s">
        <v>1620</v>
      </c>
      <c r="D464" s="2017" t="s">
        <v>1621</v>
      </c>
      <c r="E464" s="2017" t="s">
        <v>1618</v>
      </c>
      <c r="F464" s="2017" t="s">
        <v>1716</v>
      </c>
      <c r="G464" s="2018">
        <v>5800000</v>
      </c>
      <c r="H464" s="2024"/>
    </row>
    <row r="465" spans="1:8" ht="15.75" customHeight="1" x14ac:dyDescent="0.25">
      <c r="A465" s="2017" t="s">
        <v>1817</v>
      </c>
      <c r="B465" s="2017" t="s">
        <v>1592</v>
      </c>
      <c r="C465" s="2017" t="s">
        <v>1620</v>
      </c>
      <c r="D465" s="2017" t="s">
        <v>1621</v>
      </c>
      <c r="E465" s="2017" t="s">
        <v>1618</v>
      </c>
      <c r="F465" s="2017" t="s">
        <v>1622</v>
      </c>
      <c r="G465" s="2018">
        <v>97045000</v>
      </c>
      <c r="H465" s="2024"/>
    </row>
    <row r="466" spans="1:8" ht="15.75" customHeight="1" x14ac:dyDescent="0.25">
      <c r="A466" s="2017" t="s">
        <v>1817</v>
      </c>
      <c r="B466" s="2017" t="s">
        <v>1592</v>
      </c>
      <c r="C466" s="2017" t="s">
        <v>1620</v>
      </c>
      <c r="D466" s="2017" t="s">
        <v>1621</v>
      </c>
      <c r="E466" s="2017" t="s">
        <v>1615</v>
      </c>
      <c r="F466" s="2017" t="s">
        <v>1646</v>
      </c>
      <c r="G466" s="2018">
        <v>37371756</v>
      </c>
      <c r="H466" s="2024"/>
    </row>
    <row r="467" spans="1:8" ht="15.75" customHeight="1" x14ac:dyDescent="0.25">
      <c r="A467" s="2017" t="s">
        <v>1817</v>
      </c>
      <c r="B467" s="2017" t="s">
        <v>1592</v>
      </c>
      <c r="C467" s="2017" t="s">
        <v>1620</v>
      </c>
      <c r="D467" s="2017" t="s">
        <v>1621</v>
      </c>
      <c r="E467" s="2017" t="s">
        <v>1615</v>
      </c>
      <c r="F467" s="2017" t="s">
        <v>1763</v>
      </c>
      <c r="G467" s="2018">
        <v>27706756</v>
      </c>
      <c r="H467" s="2024"/>
    </row>
    <row r="468" spans="1:8" ht="15.75" customHeight="1" x14ac:dyDescent="0.25">
      <c r="A468" s="2017" t="s">
        <v>1817</v>
      </c>
      <c r="B468" s="2017" t="s">
        <v>1592</v>
      </c>
      <c r="C468" s="2017" t="s">
        <v>1620</v>
      </c>
      <c r="D468" s="2017" t="s">
        <v>1621</v>
      </c>
      <c r="E468" s="2017" t="s">
        <v>1615</v>
      </c>
      <c r="F468" s="2017" t="s">
        <v>1616</v>
      </c>
      <c r="G468" s="2018">
        <v>9665000</v>
      </c>
      <c r="H468" s="2024"/>
    </row>
    <row r="469" spans="1:8" ht="15.75" customHeight="1" x14ac:dyDescent="0.25">
      <c r="A469" s="2017" t="s">
        <v>1817</v>
      </c>
      <c r="B469" s="2017" t="s">
        <v>1592</v>
      </c>
      <c r="C469" s="2017" t="s">
        <v>1620</v>
      </c>
      <c r="D469" s="2017" t="s">
        <v>1621</v>
      </c>
      <c r="E469" s="2017" t="s">
        <v>1801</v>
      </c>
      <c r="F469" s="2017" t="s">
        <v>1646</v>
      </c>
      <c r="G469" s="2018">
        <v>4212000</v>
      </c>
      <c r="H469" s="2024"/>
    </row>
    <row r="470" spans="1:8" ht="15.75" customHeight="1" x14ac:dyDescent="0.25">
      <c r="A470" s="2017" t="s">
        <v>1817</v>
      </c>
      <c r="B470" s="2017" t="s">
        <v>1592</v>
      </c>
      <c r="C470" s="2017" t="s">
        <v>1620</v>
      </c>
      <c r="D470" s="2017" t="s">
        <v>1621</v>
      </c>
      <c r="E470" s="2017" t="s">
        <v>1801</v>
      </c>
      <c r="F470" s="2017" t="s">
        <v>1804</v>
      </c>
      <c r="G470" s="2018">
        <v>4212000</v>
      </c>
      <c r="H470" s="2024"/>
    </row>
    <row r="471" spans="1:8" ht="15.75" customHeight="1" x14ac:dyDescent="0.25">
      <c r="A471" s="2017" t="s">
        <v>1817</v>
      </c>
      <c r="B471" s="2017" t="s">
        <v>1592</v>
      </c>
      <c r="C471" s="2017" t="s">
        <v>1774</v>
      </c>
      <c r="D471" s="2017" t="s">
        <v>1646</v>
      </c>
      <c r="E471" s="2017" t="s">
        <v>1646</v>
      </c>
      <c r="F471" s="2017" t="s">
        <v>1646</v>
      </c>
      <c r="G471" s="2018">
        <v>136798600</v>
      </c>
      <c r="H471" s="2024"/>
    </row>
    <row r="472" spans="1:8" ht="15.75" customHeight="1" x14ac:dyDescent="0.25">
      <c r="A472" s="2017" t="s">
        <v>1817</v>
      </c>
      <c r="B472" s="2017" t="s">
        <v>1592</v>
      </c>
      <c r="C472" s="2017" t="s">
        <v>1774</v>
      </c>
      <c r="D472" s="2017" t="s">
        <v>1775</v>
      </c>
      <c r="E472" s="2017" t="s">
        <v>1646</v>
      </c>
      <c r="F472" s="2017" t="s">
        <v>1646</v>
      </c>
      <c r="G472" s="2018">
        <v>136798600</v>
      </c>
      <c r="H472" s="2024"/>
    </row>
    <row r="473" spans="1:8" ht="15.75" customHeight="1" x14ac:dyDescent="0.25">
      <c r="A473" s="2017" t="s">
        <v>1817</v>
      </c>
      <c r="B473" s="2017" t="s">
        <v>1592</v>
      </c>
      <c r="C473" s="2017" t="s">
        <v>1774</v>
      </c>
      <c r="D473" s="2017" t="s">
        <v>1775</v>
      </c>
      <c r="E473" s="2017" t="s">
        <v>1727</v>
      </c>
      <c r="F473" s="2017" t="s">
        <v>1646</v>
      </c>
      <c r="G473" s="2018">
        <v>12000000</v>
      </c>
      <c r="H473" s="2024"/>
    </row>
    <row r="474" spans="1:8" ht="15.75" customHeight="1" x14ac:dyDescent="0.25">
      <c r="A474" s="2017" t="s">
        <v>1817</v>
      </c>
      <c r="B474" s="2017" t="s">
        <v>1592</v>
      </c>
      <c r="C474" s="2017" t="s">
        <v>1774</v>
      </c>
      <c r="D474" s="2017" t="s">
        <v>1775</v>
      </c>
      <c r="E474" s="2017" t="s">
        <v>1727</v>
      </c>
      <c r="F474" s="2017" t="s">
        <v>1786</v>
      </c>
      <c r="G474" s="2018">
        <v>12000000</v>
      </c>
      <c r="H474" s="2024"/>
    </row>
    <row r="475" spans="1:8" ht="15.75" customHeight="1" x14ac:dyDescent="0.25">
      <c r="A475" s="2017" t="s">
        <v>1817</v>
      </c>
      <c r="B475" s="2017" t="s">
        <v>1592</v>
      </c>
      <c r="C475" s="2017" t="s">
        <v>1774</v>
      </c>
      <c r="D475" s="2017" t="s">
        <v>1775</v>
      </c>
      <c r="E475" s="2017" t="s">
        <v>1652</v>
      </c>
      <c r="F475" s="2017" t="s">
        <v>1646</v>
      </c>
      <c r="G475" s="2018">
        <v>10780000</v>
      </c>
      <c r="H475" s="2024"/>
    </row>
    <row r="476" spans="1:8" ht="15.75" customHeight="1" x14ac:dyDescent="0.25">
      <c r="A476" s="2017" t="s">
        <v>1817</v>
      </c>
      <c r="B476" s="2017" t="s">
        <v>1592</v>
      </c>
      <c r="C476" s="2017" t="s">
        <v>1774</v>
      </c>
      <c r="D476" s="2017" t="s">
        <v>1775</v>
      </c>
      <c r="E476" s="2017" t="s">
        <v>1652</v>
      </c>
      <c r="F476" s="2017" t="s">
        <v>1754</v>
      </c>
      <c r="G476" s="2018">
        <v>700000</v>
      </c>
      <c r="H476" s="2024"/>
    </row>
    <row r="477" spans="1:8" ht="15.75" customHeight="1" x14ac:dyDescent="0.25">
      <c r="A477" s="2017" t="s">
        <v>1817</v>
      </c>
      <c r="B477" s="2017" t="s">
        <v>1592</v>
      </c>
      <c r="C477" s="2017" t="s">
        <v>1774</v>
      </c>
      <c r="D477" s="2017" t="s">
        <v>1775</v>
      </c>
      <c r="E477" s="2017" t="s">
        <v>1652</v>
      </c>
      <c r="F477" s="2017" t="s">
        <v>1800</v>
      </c>
      <c r="G477" s="2018">
        <v>10080000</v>
      </c>
      <c r="H477" s="2024"/>
    </row>
    <row r="478" spans="1:8" ht="15.75" customHeight="1" x14ac:dyDescent="0.25">
      <c r="A478" s="2017" t="s">
        <v>1817</v>
      </c>
      <c r="B478" s="2017" t="s">
        <v>1592</v>
      </c>
      <c r="C478" s="2017" t="s">
        <v>1774</v>
      </c>
      <c r="D478" s="2017" t="s">
        <v>1775</v>
      </c>
      <c r="E478" s="2017" t="s">
        <v>1654</v>
      </c>
      <c r="F478" s="2017" t="s">
        <v>1646</v>
      </c>
      <c r="G478" s="2018">
        <v>700000</v>
      </c>
      <c r="H478" s="2024"/>
    </row>
    <row r="479" spans="1:8" ht="15.75" customHeight="1" x14ac:dyDescent="0.25">
      <c r="A479" s="2017" t="s">
        <v>1817</v>
      </c>
      <c r="B479" s="2017" t="s">
        <v>1592</v>
      </c>
      <c r="C479" s="2017" t="s">
        <v>1774</v>
      </c>
      <c r="D479" s="2017" t="s">
        <v>1775</v>
      </c>
      <c r="E479" s="2017" t="s">
        <v>1654</v>
      </c>
      <c r="F479" s="2017" t="s">
        <v>1655</v>
      </c>
      <c r="G479" s="2018">
        <v>700000</v>
      </c>
      <c r="H479" s="2024"/>
    </row>
    <row r="480" spans="1:8" ht="15.75" customHeight="1" x14ac:dyDescent="0.25">
      <c r="A480" s="2017" t="s">
        <v>1817</v>
      </c>
      <c r="B480" s="2017" t="s">
        <v>1592</v>
      </c>
      <c r="C480" s="2017" t="s">
        <v>1774</v>
      </c>
      <c r="D480" s="2017" t="s">
        <v>1775</v>
      </c>
      <c r="E480" s="2017" t="s">
        <v>1602</v>
      </c>
      <c r="F480" s="2017" t="s">
        <v>1646</v>
      </c>
      <c r="G480" s="2018">
        <v>8749000</v>
      </c>
      <c r="H480" s="2024"/>
    </row>
    <row r="481" spans="1:8" ht="15.75" customHeight="1" x14ac:dyDescent="0.25">
      <c r="A481" s="2017" t="s">
        <v>1817</v>
      </c>
      <c r="B481" s="2017" t="s">
        <v>1592</v>
      </c>
      <c r="C481" s="2017" t="s">
        <v>1774</v>
      </c>
      <c r="D481" s="2017" t="s">
        <v>1775</v>
      </c>
      <c r="E481" s="2017" t="s">
        <v>1602</v>
      </c>
      <c r="F481" s="2017" t="s">
        <v>1680</v>
      </c>
      <c r="G481" s="2018">
        <v>8749000</v>
      </c>
      <c r="H481" s="2024"/>
    </row>
    <row r="482" spans="1:8" ht="15.75" customHeight="1" x14ac:dyDescent="0.25">
      <c r="A482" s="2017" t="s">
        <v>1817</v>
      </c>
      <c r="B482" s="2017" t="s">
        <v>1592</v>
      </c>
      <c r="C482" s="2017" t="s">
        <v>1774</v>
      </c>
      <c r="D482" s="2017" t="s">
        <v>1775</v>
      </c>
      <c r="E482" s="2017" t="s">
        <v>1618</v>
      </c>
      <c r="F482" s="2017" t="s">
        <v>1646</v>
      </c>
      <c r="G482" s="2018">
        <v>99309600</v>
      </c>
      <c r="H482" s="2024"/>
    </row>
    <row r="483" spans="1:8" ht="15.75" customHeight="1" x14ac:dyDescent="0.25">
      <c r="A483" s="2017" t="s">
        <v>1817</v>
      </c>
      <c r="B483" s="2017" t="s">
        <v>1592</v>
      </c>
      <c r="C483" s="2017" t="s">
        <v>1774</v>
      </c>
      <c r="D483" s="2017" t="s">
        <v>1775</v>
      </c>
      <c r="E483" s="2017" t="s">
        <v>1618</v>
      </c>
      <c r="F483" s="2017" t="s">
        <v>1716</v>
      </c>
      <c r="G483" s="2018">
        <v>69357600</v>
      </c>
      <c r="H483" s="2024"/>
    </row>
    <row r="484" spans="1:8" ht="15.75" customHeight="1" x14ac:dyDescent="0.25">
      <c r="A484" s="2017" t="s">
        <v>1817</v>
      </c>
      <c r="B484" s="2017" t="s">
        <v>1592</v>
      </c>
      <c r="C484" s="2017" t="s">
        <v>1774</v>
      </c>
      <c r="D484" s="2017" t="s">
        <v>1775</v>
      </c>
      <c r="E484" s="2017" t="s">
        <v>1618</v>
      </c>
      <c r="F484" s="2017" t="s">
        <v>1622</v>
      </c>
      <c r="G484" s="2018">
        <v>29952000</v>
      </c>
      <c r="H484" s="2024"/>
    </row>
    <row r="485" spans="1:8" ht="15.75" customHeight="1" x14ac:dyDescent="0.25">
      <c r="A485" s="2017" t="s">
        <v>1817</v>
      </c>
      <c r="B485" s="2017" t="s">
        <v>1592</v>
      </c>
      <c r="C485" s="2017" t="s">
        <v>1774</v>
      </c>
      <c r="D485" s="2017" t="s">
        <v>1775</v>
      </c>
      <c r="E485" s="2017" t="s">
        <v>1615</v>
      </c>
      <c r="F485" s="2017" t="s">
        <v>1646</v>
      </c>
      <c r="G485" s="2018">
        <v>5260000</v>
      </c>
      <c r="H485" s="2024"/>
    </row>
    <row r="486" spans="1:8" ht="15.75" customHeight="1" x14ac:dyDescent="0.25">
      <c r="A486" s="2017" t="s">
        <v>1817</v>
      </c>
      <c r="B486" s="2017" t="s">
        <v>1592</v>
      </c>
      <c r="C486" s="2017" t="s">
        <v>1774</v>
      </c>
      <c r="D486" s="2017" t="s">
        <v>1775</v>
      </c>
      <c r="E486" s="2017" t="s">
        <v>1615</v>
      </c>
      <c r="F486" s="2017" t="s">
        <v>1616</v>
      </c>
      <c r="G486" s="2018">
        <v>5260000</v>
      </c>
      <c r="H486" s="2024"/>
    </row>
    <row r="487" spans="1:8" ht="15.75" customHeight="1" x14ac:dyDescent="0.25">
      <c r="A487" s="2017" t="s">
        <v>1817</v>
      </c>
      <c r="B487" s="2017" t="s">
        <v>1592</v>
      </c>
      <c r="C487" s="2017" t="s">
        <v>1776</v>
      </c>
      <c r="D487" s="2017" t="s">
        <v>1646</v>
      </c>
      <c r="E487" s="2017" t="s">
        <v>1646</v>
      </c>
      <c r="F487" s="2017" t="s">
        <v>1646</v>
      </c>
      <c r="G487" s="2018">
        <v>444680960</v>
      </c>
      <c r="H487" s="2024"/>
    </row>
    <row r="488" spans="1:8" ht="15.75" customHeight="1" x14ac:dyDescent="0.25">
      <c r="A488" s="2017" t="s">
        <v>1817</v>
      </c>
      <c r="B488" s="2017" t="s">
        <v>1592</v>
      </c>
      <c r="C488" s="2017" t="s">
        <v>1776</v>
      </c>
      <c r="D488" s="2017" t="s">
        <v>1777</v>
      </c>
      <c r="E488" s="2017" t="s">
        <v>1646</v>
      </c>
      <c r="F488" s="2017" t="s">
        <v>1646</v>
      </c>
      <c r="G488" s="2018">
        <v>444680960</v>
      </c>
      <c r="H488" s="2024"/>
    </row>
    <row r="489" spans="1:8" ht="15.75" customHeight="1" x14ac:dyDescent="0.25">
      <c r="A489" s="2017" t="s">
        <v>1817</v>
      </c>
      <c r="B489" s="2017" t="s">
        <v>1592</v>
      </c>
      <c r="C489" s="2017" t="s">
        <v>1776</v>
      </c>
      <c r="D489" s="2017" t="s">
        <v>1777</v>
      </c>
      <c r="E489" s="2017" t="s">
        <v>1741</v>
      </c>
      <c r="F489" s="2017" t="s">
        <v>1646</v>
      </c>
      <c r="G489" s="2018">
        <v>15500000</v>
      </c>
      <c r="H489" s="2024"/>
    </row>
    <row r="490" spans="1:8" ht="15.75" customHeight="1" x14ac:dyDescent="0.25">
      <c r="A490" s="2017" t="s">
        <v>1817</v>
      </c>
      <c r="B490" s="2017" t="s">
        <v>1592</v>
      </c>
      <c r="C490" s="2017" t="s">
        <v>1776</v>
      </c>
      <c r="D490" s="2017" t="s">
        <v>1777</v>
      </c>
      <c r="E490" s="2017" t="s">
        <v>1741</v>
      </c>
      <c r="F490" s="2017" t="s">
        <v>1783</v>
      </c>
      <c r="G490" s="2018">
        <v>15500000</v>
      </c>
      <c r="H490" s="2024"/>
    </row>
    <row r="491" spans="1:8" ht="15.75" customHeight="1" x14ac:dyDescent="0.25">
      <c r="A491" s="2017" t="s">
        <v>1817</v>
      </c>
      <c r="B491" s="2017" t="s">
        <v>1592</v>
      </c>
      <c r="C491" s="2017" t="s">
        <v>1776</v>
      </c>
      <c r="D491" s="2017" t="s">
        <v>1777</v>
      </c>
      <c r="E491" s="2017" t="s">
        <v>1751</v>
      </c>
      <c r="F491" s="2017" t="s">
        <v>1646</v>
      </c>
      <c r="G491" s="2018">
        <v>1700000</v>
      </c>
      <c r="H491" s="2024"/>
    </row>
    <row r="492" spans="1:8" ht="15.75" customHeight="1" x14ac:dyDescent="0.25">
      <c r="A492" s="2017" t="s">
        <v>1817</v>
      </c>
      <c r="B492" s="2017" t="s">
        <v>1592</v>
      </c>
      <c r="C492" s="2017" t="s">
        <v>1776</v>
      </c>
      <c r="D492" s="2017" t="s">
        <v>1777</v>
      </c>
      <c r="E492" s="2017" t="s">
        <v>1751</v>
      </c>
      <c r="F492" s="2017" t="s">
        <v>1787</v>
      </c>
      <c r="G492" s="2018">
        <v>1700000</v>
      </c>
      <c r="H492" s="2024"/>
    </row>
    <row r="493" spans="1:8" ht="15.75" customHeight="1" x14ac:dyDescent="0.25">
      <c r="A493" s="2017" t="s">
        <v>1817</v>
      </c>
      <c r="B493" s="2017" t="s">
        <v>1592</v>
      </c>
      <c r="C493" s="2017" t="s">
        <v>1776</v>
      </c>
      <c r="D493" s="2017" t="s">
        <v>1777</v>
      </c>
      <c r="E493" s="2017" t="s">
        <v>1609</v>
      </c>
      <c r="F493" s="2017" t="s">
        <v>1646</v>
      </c>
      <c r="G493" s="2018">
        <v>7952000</v>
      </c>
      <c r="H493" s="2024"/>
    </row>
    <row r="494" spans="1:8" ht="15.75" customHeight="1" x14ac:dyDescent="0.25">
      <c r="A494" s="2017" t="s">
        <v>1817</v>
      </c>
      <c r="B494" s="2017" t="s">
        <v>1592</v>
      </c>
      <c r="C494" s="2017" t="s">
        <v>1776</v>
      </c>
      <c r="D494" s="2017" t="s">
        <v>1777</v>
      </c>
      <c r="E494" s="2017" t="s">
        <v>1609</v>
      </c>
      <c r="F494" s="2017" t="s">
        <v>1828</v>
      </c>
      <c r="G494" s="2018">
        <v>7952000</v>
      </c>
      <c r="H494" s="2024"/>
    </row>
    <row r="495" spans="1:8" ht="15.75" customHeight="1" x14ac:dyDescent="0.25">
      <c r="A495" s="2017" t="s">
        <v>1817</v>
      </c>
      <c r="B495" s="2017" t="s">
        <v>1592</v>
      </c>
      <c r="C495" s="2017" t="s">
        <v>1776</v>
      </c>
      <c r="D495" s="2017" t="s">
        <v>1777</v>
      </c>
      <c r="E495" s="2017" t="s">
        <v>1660</v>
      </c>
      <c r="F495" s="2017" t="s">
        <v>1646</v>
      </c>
      <c r="G495" s="2018">
        <v>36932000</v>
      </c>
      <c r="H495" s="2024"/>
    </row>
    <row r="496" spans="1:8" ht="15.75" customHeight="1" x14ac:dyDescent="0.25">
      <c r="A496" s="2017" t="s">
        <v>1817</v>
      </c>
      <c r="B496" s="2017" t="s">
        <v>1592</v>
      </c>
      <c r="C496" s="2017" t="s">
        <v>1776</v>
      </c>
      <c r="D496" s="2017" t="s">
        <v>1777</v>
      </c>
      <c r="E496" s="2017" t="s">
        <v>1660</v>
      </c>
      <c r="F496" s="2017" t="s">
        <v>1662</v>
      </c>
      <c r="G496" s="2018">
        <v>36932000</v>
      </c>
      <c r="H496" s="2024"/>
    </row>
    <row r="497" spans="1:8" ht="15.75" customHeight="1" x14ac:dyDescent="0.25">
      <c r="A497" s="2017" t="s">
        <v>1817</v>
      </c>
      <c r="B497" s="2017" t="s">
        <v>1592</v>
      </c>
      <c r="C497" s="2017" t="s">
        <v>1776</v>
      </c>
      <c r="D497" s="2017" t="s">
        <v>1777</v>
      </c>
      <c r="E497" s="2017" t="s">
        <v>1654</v>
      </c>
      <c r="F497" s="2017" t="s">
        <v>1646</v>
      </c>
      <c r="G497" s="2018">
        <v>41138000</v>
      </c>
      <c r="H497" s="2024"/>
    </row>
    <row r="498" spans="1:8" ht="15.75" customHeight="1" x14ac:dyDescent="0.25">
      <c r="A498" s="2017" t="s">
        <v>1817</v>
      </c>
      <c r="B498" s="2017" t="s">
        <v>1592</v>
      </c>
      <c r="C498" s="2017" t="s">
        <v>1776</v>
      </c>
      <c r="D498" s="2017" t="s">
        <v>1777</v>
      </c>
      <c r="E498" s="2017" t="s">
        <v>1654</v>
      </c>
      <c r="F498" s="2017" t="s">
        <v>1663</v>
      </c>
      <c r="G498" s="2018">
        <v>27458000</v>
      </c>
      <c r="H498" s="2024"/>
    </row>
    <row r="499" spans="1:8" ht="15.75" customHeight="1" x14ac:dyDescent="0.25">
      <c r="A499" s="2017" t="s">
        <v>1817</v>
      </c>
      <c r="B499" s="2017" t="s">
        <v>1592</v>
      </c>
      <c r="C499" s="2017" t="s">
        <v>1776</v>
      </c>
      <c r="D499" s="2017" t="s">
        <v>1777</v>
      </c>
      <c r="E499" s="2017" t="s">
        <v>1654</v>
      </c>
      <c r="F499" s="2017" t="s">
        <v>1829</v>
      </c>
      <c r="G499" s="2018">
        <v>13680000</v>
      </c>
      <c r="H499" s="2024"/>
    </row>
    <row r="500" spans="1:8" ht="15.75" customHeight="1" x14ac:dyDescent="0.25">
      <c r="A500" s="2017" t="s">
        <v>1817</v>
      </c>
      <c r="B500" s="2017" t="s">
        <v>1592</v>
      </c>
      <c r="C500" s="2017" t="s">
        <v>1776</v>
      </c>
      <c r="D500" s="2017" t="s">
        <v>1777</v>
      </c>
      <c r="E500" s="2017" t="s">
        <v>1618</v>
      </c>
      <c r="F500" s="2017" t="s">
        <v>1646</v>
      </c>
      <c r="G500" s="2018">
        <v>299852560</v>
      </c>
      <c r="H500" s="2024"/>
    </row>
    <row r="501" spans="1:8" ht="15.75" customHeight="1" x14ac:dyDescent="0.25">
      <c r="A501" s="2017" t="s">
        <v>1817</v>
      </c>
      <c r="B501" s="2017" t="s">
        <v>1592</v>
      </c>
      <c r="C501" s="2017" t="s">
        <v>1776</v>
      </c>
      <c r="D501" s="2017" t="s">
        <v>1777</v>
      </c>
      <c r="E501" s="2017" t="s">
        <v>1618</v>
      </c>
      <c r="F501" s="2017" t="s">
        <v>1619</v>
      </c>
      <c r="G501" s="2018">
        <v>62394560</v>
      </c>
      <c r="H501" s="2024"/>
    </row>
    <row r="502" spans="1:8" ht="15.75" customHeight="1" x14ac:dyDescent="0.25">
      <c r="A502" s="2017" t="s">
        <v>1817</v>
      </c>
      <c r="B502" s="2017" t="s">
        <v>1592</v>
      </c>
      <c r="C502" s="2017" t="s">
        <v>1776</v>
      </c>
      <c r="D502" s="2017" t="s">
        <v>1777</v>
      </c>
      <c r="E502" s="2017" t="s">
        <v>1618</v>
      </c>
      <c r="F502" s="2017" t="s">
        <v>1762</v>
      </c>
      <c r="G502" s="2018">
        <v>9305000</v>
      </c>
      <c r="H502" s="2024"/>
    </row>
    <row r="503" spans="1:8" ht="15.75" customHeight="1" x14ac:dyDescent="0.25">
      <c r="A503" s="2017" t="s">
        <v>1817</v>
      </c>
      <c r="B503" s="2017" t="s">
        <v>1592</v>
      </c>
      <c r="C503" s="2017" t="s">
        <v>1776</v>
      </c>
      <c r="D503" s="2017" t="s">
        <v>1777</v>
      </c>
      <c r="E503" s="2017" t="s">
        <v>1618</v>
      </c>
      <c r="F503" s="2017" t="s">
        <v>1622</v>
      </c>
      <c r="G503" s="2018">
        <v>228153000</v>
      </c>
      <c r="H503" s="2024"/>
    </row>
    <row r="504" spans="1:8" ht="15.75" customHeight="1" x14ac:dyDescent="0.25">
      <c r="A504" s="2017" t="s">
        <v>1817</v>
      </c>
      <c r="B504" s="2017" t="s">
        <v>1592</v>
      </c>
      <c r="C504" s="2017" t="s">
        <v>1776</v>
      </c>
      <c r="D504" s="2017" t="s">
        <v>1777</v>
      </c>
      <c r="E504" s="2017" t="s">
        <v>1615</v>
      </c>
      <c r="F504" s="2017" t="s">
        <v>1646</v>
      </c>
      <c r="G504" s="2018">
        <v>41606400</v>
      </c>
      <c r="H504" s="2024"/>
    </row>
    <row r="505" spans="1:8" ht="15.75" customHeight="1" x14ac:dyDescent="0.25">
      <c r="A505" s="2017" t="s">
        <v>1817</v>
      </c>
      <c r="B505" s="2017" t="s">
        <v>1592</v>
      </c>
      <c r="C505" s="2017" t="s">
        <v>1776</v>
      </c>
      <c r="D505" s="2017" t="s">
        <v>1777</v>
      </c>
      <c r="E505" s="2017" t="s">
        <v>1615</v>
      </c>
      <c r="F505" s="2017" t="s">
        <v>1616</v>
      </c>
      <c r="G505" s="2018">
        <v>41606400</v>
      </c>
      <c r="H505" s="2024"/>
    </row>
    <row r="506" spans="1:8" ht="15.75" customHeight="1" x14ac:dyDescent="0.25">
      <c r="A506" s="2017" t="s">
        <v>1817</v>
      </c>
      <c r="B506" s="2017" t="s">
        <v>1592</v>
      </c>
      <c r="C506" s="2017" t="s">
        <v>1778</v>
      </c>
      <c r="D506" s="2017" t="s">
        <v>1646</v>
      </c>
      <c r="E506" s="2017" t="s">
        <v>1646</v>
      </c>
      <c r="F506" s="2017" t="s">
        <v>1646</v>
      </c>
      <c r="G506" s="2018">
        <v>9119303682</v>
      </c>
      <c r="H506" s="2024"/>
    </row>
    <row r="507" spans="1:8" ht="15.75" customHeight="1" x14ac:dyDescent="0.25">
      <c r="A507" s="2017" t="s">
        <v>1817</v>
      </c>
      <c r="B507" s="2017" t="s">
        <v>1592</v>
      </c>
      <c r="C507" s="2017" t="s">
        <v>1778</v>
      </c>
      <c r="D507" s="2017" t="s">
        <v>1830</v>
      </c>
      <c r="E507" s="2017" t="s">
        <v>1646</v>
      </c>
      <c r="F507" s="2017" t="s">
        <v>1646</v>
      </c>
      <c r="G507" s="2018">
        <v>8275191000</v>
      </c>
      <c r="H507" s="2024"/>
    </row>
    <row r="508" spans="1:8" ht="15.75" customHeight="1" x14ac:dyDescent="0.25">
      <c r="A508" s="2017" t="s">
        <v>1817</v>
      </c>
      <c r="B508" s="2017" t="s">
        <v>1592</v>
      </c>
      <c r="C508" s="2017" t="s">
        <v>1778</v>
      </c>
      <c r="D508" s="2017" t="s">
        <v>1830</v>
      </c>
      <c r="E508" s="2017" t="s">
        <v>1751</v>
      </c>
      <c r="F508" s="2017" t="s">
        <v>1646</v>
      </c>
      <c r="G508" s="2018">
        <v>7773950000</v>
      </c>
      <c r="H508" s="2024"/>
    </row>
    <row r="509" spans="1:8" ht="15.75" customHeight="1" x14ac:dyDescent="0.25">
      <c r="A509" s="2017" t="s">
        <v>1817</v>
      </c>
      <c r="B509" s="2017" t="s">
        <v>1592</v>
      </c>
      <c r="C509" s="2017" t="s">
        <v>1778</v>
      </c>
      <c r="D509" s="2017" t="s">
        <v>1830</v>
      </c>
      <c r="E509" s="2017" t="s">
        <v>1751</v>
      </c>
      <c r="F509" s="2017" t="s">
        <v>1753</v>
      </c>
      <c r="G509" s="2018">
        <v>7501467000</v>
      </c>
      <c r="H509" s="2024"/>
    </row>
    <row r="510" spans="1:8" ht="15.75" customHeight="1" x14ac:dyDescent="0.25">
      <c r="A510" s="2017" t="s">
        <v>1817</v>
      </c>
      <c r="B510" s="2017" t="s">
        <v>1592</v>
      </c>
      <c r="C510" s="2017" t="s">
        <v>1778</v>
      </c>
      <c r="D510" s="2017" t="s">
        <v>1830</v>
      </c>
      <c r="E510" s="2017" t="s">
        <v>1751</v>
      </c>
      <c r="F510" s="2017" t="s">
        <v>1831</v>
      </c>
      <c r="G510" s="2018">
        <v>272483000</v>
      </c>
      <c r="H510" s="2024"/>
    </row>
    <row r="511" spans="1:8" ht="15.75" customHeight="1" x14ac:dyDescent="0.25">
      <c r="A511" s="2017" t="s">
        <v>1817</v>
      </c>
      <c r="B511" s="2017" t="s">
        <v>1592</v>
      </c>
      <c r="C511" s="2017" t="s">
        <v>1778</v>
      </c>
      <c r="D511" s="2017" t="s">
        <v>1830</v>
      </c>
      <c r="E511" s="2017" t="s">
        <v>1602</v>
      </c>
      <c r="F511" s="2017" t="s">
        <v>1646</v>
      </c>
      <c r="G511" s="2018">
        <v>501241000</v>
      </c>
      <c r="H511" s="2024"/>
    </row>
    <row r="512" spans="1:8" ht="15.75" customHeight="1" x14ac:dyDescent="0.25">
      <c r="A512" s="2017" t="s">
        <v>1817</v>
      </c>
      <c r="B512" s="2017" t="s">
        <v>1592</v>
      </c>
      <c r="C512" s="2017" t="s">
        <v>1778</v>
      </c>
      <c r="D512" s="2017" t="s">
        <v>1830</v>
      </c>
      <c r="E512" s="2017" t="s">
        <v>1602</v>
      </c>
      <c r="F512" s="2017" t="s">
        <v>1760</v>
      </c>
      <c r="G512" s="2018">
        <v>501241000</v>
      </c>
      <c r="H512" s="2024"/>
    </row>
    <row r="513" spans="1:8" ht="15.75" customHeight="1" x14ac:dyDescent="0.25">
      <c r="A513" s="2017" t="s">
        <v>1817</v>
      </c>
      <c r="B513" s="2017" t="s">
        <v>1592</v>
      </c>
      <c r="C513" s="2017" t="s">
        <v>1778</v>
      </c>
      <c r="D513" s="2017" t="s">
        <v>1779</v>
      </c>
      <c r="E513" s="2017" t="s">
        <v>1646</v>
      </c>
      <c r="F513" s="2017" t="s">
        <v>1646</v>
      </c>
      <c r="G513" s="2018">
        <v>844112682</v>
      </c>
      <c r="H513" s="2024"/>
    </row>
    <row r="514" spans="1:8" ht="15.75" customHeight="1" x14ac:dyDescent="0.25">
      <c r="A514" s="2017" t="s">
        <v>1817</v>
      </c>
      <c r="B514" s="2017" t="s">
        <v>1592</v>
      </c>
      <c r="C514" s="2017" t="s">
        <v>1778</v>
      </c>
      <c r="D514" s="2017" t="s">
        <v>1779</v>
      </c>
      <c r="E514" s="2017" t="s">
        <v>1751</v>
      </c>
      <c r="F514" s="2017" t="s">
        <v>1646</v>
      </c>
      <c r="G514" s="2018">
        <v>721912000</v>
      </c>
      <c r="H514" s="2024"/>
    </row>
    <row r="515" spans="1:8" ht="15.75" customHeight="1" x14ac:dyDescent="0.25">
      <c r="A515" s="2017" t="s">
        <v>1817</v>
      </c>
      <c r="B515" s="2017" t="s">
        <v>1592</v>
      </c>
      <c r="C515" s="2017" t="s">
        <v>1778</v>
      </c>
      <c r="D515" s="2017" t="s">
        <v>1779</v>
      </c>
      <c r="E515" s="2017" t="s">
        <v>1751</v>
      </c>
      <c r="F515" s="2017" t="s">
        <v>1753</v>
      </c>
      <c r="G515" s="2018">
        <v>721912000</v>
      </c>
      <c r="H515" s="2024"/>
    </row>
    <row r="516" spans="1:8" ht="15.75" customHeight="1" x14ac:dyDescent="0.25">
      <c r="A516" s="2017" t="s">
        <v>1817</v>
      </c>
      <c r="B516" s="2017" t="s">
        <v>1592</v>
      </c>
      <c r="C516" s="2017" t="s">
        <v>1778</v>
      </c>
      <c r="D516" s="2017" t="s">
        <v>1779</v>
      </c>
      <c r="E516" s="2017" t="s">
        <v>1623</v>
      </c>
      <c r="F516" s="2017" t="s">
        <v>1646</v>
      </c>
      <c r="G516" s="2018">
        <v>10213882</v>
      </c>
      <c r="H516" s="2024"/>
    </row>
    <row r="517" spans="1:8" ht="15.75" customHeight="1" x14ac:dyDescent="0.25">
      <c r="A517" s="2017" t="s">
        <v>1817</v>
      </c>
      <c r="B517" s="2017" t="s">
        <v>1592</v>
      </c>
      <c r="C517" s="2017" t="s">
        <v>1778</v>
      </c>
      <c r="D517" s="2017" t="s">
        <v>1779</v>
      </c>
      <c r="E517" s="2017" t="s">
        <v>1623</v>
      </c>
      <c r="F517" s="2017" t="s">
        <v>1624</v>
      </c>
      <c r="G517" s="2018">
        <v>10213882</v>
      </c>
      <c r="H517" s="2024"/>
    </row>
    <row r="518" spans="1:8" ht="15.75" customHeight="1" x14ac:dyDescent="0.25">
      <c r="A518" s="2017" t="s">
        <v>1817</v>
      </c>
      <c r="B518" s="2017" t="s">
        <v>1592</v>
      </c>
      <c r="C518" s="2017" t="s">
        <v>1778</v>
      </c>
      <c r="D518" s="2017" t="s">
        <v>1779</v>
      </c>
      <c r="E518" s="2017" t="s">
        <v>1652</v>
      </c>
      <c r="F518" s="2017" t="s">
        <v>1646</v>
      </c>
      <c r="G518" s="2018">
        <v>104071800</v>
      </c>
      <c r="H518" s="2024"/>
    </row>
    <row r="519" spans="1:8" ht="15.75" customHeight="1" x14ac:dyDescent="0.25">
      <c r="A519" s="2017" t="s">
        <v>1817</v>
      </c>
      <c r="B519" s="2017" t="s">
        <v>1592</v>
      </c>
      <c r="C519" s="2017" t="s">
        <v>1778</v>
      </c>
      <c r="D519" s="2017" t="s">
        <v>1779</v>
      </c>
      <c r="E519" s="2017" t="s">
        <v>1652</v>
      </c>
      <c r="F519" s="2017" t="s">
        <v>1653</v>
      </c>
      <c r="G519" s="2018">
        <v>104071800</v>
      </c>
      <c r="H519" s="2024"/>
    </row>
    <row r="520" spans="1:8" ht="15.75" customHeight="1" x14ac:dyDescent="0.25">
      <c r="A520" s="2017" t="s">
        <v>1817</v>
      </c>
      <c r="B520" s="2017" t="s">
        <v>1592</v>
      </c>
      <c r="C520" s="2017" t="s">
        <v>1778</v>
      </c>
      <c r="D520" s="2017" t="s">
        <v>1779</v>
      </c>
      <c r="E520" s="2017" t="s">
        <v>1602</v>
      </c>
      <c r="F520" s="2017" t="s">
        <v>1646</v>
      </c>
      <c r="G520" s="2018">
        <v>2200000</v>
      </c>
      <c r="H520" s="2024"/>
    </row>
    <row r="521" spans="1:8" ht="15.75" customHeight="1" x14ac:dyDescent="0.25">
      <c r="A521" s="2017" t="s">
        <v>1817</v>
      </c>
      <c r="B521" s="2017" t="s">
        <v>1592</v>
      </c>
      <c r="C521" s="2017" t="s">
        <v>1778</v>
      </c>
      <c r="D521" s="2017" t="s">
        <v>1779</v>
      </c>
      <c r="E521" s="2017" t="s">
        <v>1602</v>
      </c>
      <c r="F521" s="2017" t="s">
        <v>1680</v>
      </c>
      <c r="G521" s="2018">
        <v>2200000</v>
      </c>
      <c r="H521" s="2024"/>
    </row>
    <row r="522" spans="1:8" ht="15.75" customHeight="1" x14ac:dyDescent="0.25">
      <c r="A522" s="2017" t="s">
        <v>1817</v>
      </c>
      <c r="B522" s="2017" t="s">
        <v>1592</v>
      </c>
      <c r="C522" s="2017" t="s">
        <v>1778</v>
      </c>
      <c r="D522" s="2017" t="s">
        <v>1779</v>
      </c>
      <c r="E522" s="2017" t="s">
        <v>1618</v>
      </c>
      <c r="F522" s="2017" t="s">
        <v>1646</v>
      </c>
      <c r="G522" s="2018">
        <v>5715000</v>
      </c>
      <c r="H522" s="2024"/>
    </row>
    <row r="523" spans="1:8" ht="15.75" customHeight="1" x14ac:dyDescent="0.25">
      <c r="A523" s="2017" t="s">
        <v>1817</v>
      </c>
      <c r="B523" s="2017" t="s">
        <v>1592</v>
      </c>
      <c r="C523" s="2017" t="s">
        <v>1778</v>
      </c>
      <c r="D523" s="2017" t="s">
        <v>1779</v>
      </c>
      <c r="E523" s="2017" t="s">
        <v>1618</v>
      </c>
      <c r="F523" s="2017" t="s">
        <v>1619</v>
      </c>
      <c r="G523" s="2018">
        <v>5715000</v>
      </c>
      <c r="H523" s="2024"/>
    </row>
    <row r="524" spans="1:8" ht="15.75" customHeight="1" x14ac:dyDescent="0.25">
      <c r="A524" s="2017" t="s">
        <v>1817</v>
      </c>
      <c r="B524" s="2017" t="s">
        <v>1592</v>
      </c>
      <c r="C524" s="2017" t="s">
        <v>1600</v>
      </c>
      <c r="D524" s="2017" t="s">
        <v>1646</v>
      </c>
      <c r="E524" s="2017" t="s">
        <v>1646</v>
      </c>
      <c r="F524" s="2017" t="s">
        <v>1646</v>
      </c>
      <c r="G524" s="2018">
        <v>48889263109</v>
      </c>
      <c r="H524" s="2024"/>
    </row>
    <row r="525" spans="1:8" ht="15.75" customHeight="1" x14ac:dyDescent="0.25">
      <c r="A525" s="2017" t="s">
        <v>1817</v>
      </c>
      <c r="B525" s="2017" t="s">
        <v>1592</v>
      </c>
      <c r="C525" s="2017" t="s">
        <v>1600</v>
      </c>
      <c r="D525" s="2017" t="s">
        <v>1606</v>
      </c>
      <c r="E525" s="2017" t="s">
        <v>1646</v>
      </c>
      <c r="F525" s="2017" t="s">
        <v>1646</v>
      </c>
      <c r="G525" s="2018">
        <v>2024323047</v>
      </c>
      <c r="H525" s="2024"/>
    </row>
    <row r="526" spans="1:8" ht="15.75" customHeight="1" x14ac:dyDescent="0.25">
      <c r="A526" s="2017" t="s">
        <v>1817</v>
      </c>
      <c r="B526" s="2017" t="s">
        <v>1592</v>
      </c>
      <c r="C526" s="2017" t="s">
        <v>1600</v>
      </c>
      <c r="D526" s="2017" t="s">
        <v>1606</v>
      </c>
      <c r="E526" s="2017" t="s">
        <v>1730</v>
      </c>
      <c r="F526" s="2017" t="s">
        <v>1646</v>
      </c>
      <c r="G526" s="2018">
        <v>501789600</v>
      </c>
      <c r="H526" s="2024"/>
    </row>
    <row r="527" spans="1:8" ht="15.75" customHeight="1" x14ac:dyDescent="0.25">
      <c r="A527" s="2017" t="s">
        <v>1817</v>
      </c>
      <c r="B527" s="2017" t="s">
        <v>1592</v>
      </c>
      <c r="C527" s="2017" t="s">
        <v>1600</v>
      </c>
      <c r="D527" s="2017" t="s">
        <v>1606</v>
      </c>
      <c r="E527" s="2017" t="s">
        <v>1730</v>
      </c>
      <c r="F527" s="2017" t="s">
        <v>1731</v>
      </c>
      <c r="G527" s="2018">
        <v>501789600</v>
      </c>
      <c r="H527" s="2024"/>
    </row>
    <row r="528" spans="1:8" ht="15.75" customHeight="1" x14ac:dyDescent="0.25">
      <c r="A528" s="2017" t="s">
        <v>1817</v>
      </c>
      <c r="B528" s="2017" t="s">
        <v>1592</v>
      </c>
      <c r="C528" s="2017" t="s">
        <v>1600</v>
      </c>
      <c r="D528" s="2017" t="s">
        <v>1606</v>
      </c>
      <c r="E528" s="2017" t="s">
        <v>1607</v>
      </c>
      <c r="F528" s="2017" t="s">
        <v>1646</v>
      </c>
      <c r="G528" s="2018">
        <v>147212833</v>
      </c>
      <c r="H528" s="2024"/>
    </row>
    <row r="529" spans="1:8" ht="15.75" customHeight="1" x14ac:dyDescent="0.25">
      <c r="A529" s="2017" t="s">
        <v>1817</v>
      </c>
      <c r="B529" s="2017" t="s">
        <v>1592</v>
      </c>
      <c r="C529" s="2017" t="s">
        <v>1600</v>
      </c>
      <c r="D529" s="2017" t="s">
        <v>1606</v>
      </c>
      <c r="E529" s="2017" t="s">
        <v>1607</v>
      </c>
      <c r="F529" s="2017" t="s">
        <v>1734</v>
      </c>
      <c r="G529" s="2018">
        <v>9126000</v>
      </c>
      <c r="H529" s="2024"/>
    </row>
    <row r="530" spans="1:8" ht="15.75" customHeight="1" x14ac:dyDescent="0.25">
      <c r="A530" s="2017" t="s">
        <v>1817</v>
      </c>
      <c r="B530" s="2017" t="s">
        <v>1592</v>
      </c>
      <c r="C530" s="2017" t="s">
        <v>1600</v>
      </c>
      <c r="D530" s="2017" t="s">
        <v>1606</v>
      </c>
      <c r="E530" s="2017" t="s">
        <v>1607</v>
      </c>
      <c r="F530" s="2017" t="s">
        <v>1735</v>
      </c>
      <c r="G530" s="2018">
        <v>37908000</v>
      </c>
      <c r="H530" s="2024"/>
    </row>
    <row r="531" spans="1:8" ht="15.75" customHeight="1" x14ac:dyDescent="0.25">
      <c r="A531" s="2017" t="s">
        <v>1817</v>
      </c>
      <c r="B531" s="2017" t="s">
        <v>1592</v>
      </c>
      <c r="C531" s="2017" t="s">
        <v>1600</v>
      </c>
      <c r="D531" s="2017" t="s">
        <v>1606</v>
      </c>
      <c r="E531" s="2017" t="s">
        <v>1607</v>
      </c>
      <c r="F531" s="2017" t="s">
        <v>1608</v>
      </c>
      <c r="G531" s="2018">
        <v>42964361</v>
      </c>
      <c r="H531" s="2024"/>
    </row>
    <row r="532" spans="1:8" ht="15.75" customHeight="1" x14ac:dyDescent="0.25">
      <c r="A532" s="2017" t="s">
        <v>1817</v>
      </c>
      <c r="B532" s="2017" t="s">
        <v>1592</v>
      </c>
      <c r="C532" s="2017" t="s">
        <v>1600</v>
      </c>
      <c r="D532" s="2017" t="s">
        <v>1606</v>
      </c>
      <c r="E532" s="2017" t="s">
        <v>1607</v>
      </c>
      <c r="F532" s="2017" t="s">
        <v>1736</v>
      </c>
      <c r="G532" s="2018">
        <v>44400164</v>
      </c>
      <c r="H532" s="2024"/>
    </row>
    <row r="533" spans="1:8" ht="15.75" customHeight="1" x14ac:dyDescent="0.25">
      <c r="A533" s="2017" t="s">
        <v>1817</v>
      </c>
      <c r="B533" s="2017" t="s">
        <v>1592</v>
      </c>
      <c r="C533" s="2017" t="s">
        <v>1600</v>
      </c>
      <c r="D533" s="2017" t="s">
        <v>1606</v>
      </c>
      <c r="E533" s="2017" t="s">
        <v>1607</v>
      </c>
      <c r="F533" s="2017" t="s">
        <v>1737</v>
      </c>
      <c r="G533" s="2018">
        <v>1404000</v>
      </c>
      <c r="H533" s="2024"/>
    </row>
    <row r="534" spans="1:8" ht="15.75" customHeight="1" x14ac:dyDescent="0.25">
      <c r="A534" s="2017" t="s">
        <v>1817</v>
      </c>
      <c r="B534" s="2017" t="s">
        <v>1592</v>
      </c>
      <c r="C534" s="2017" t="s">
        <v>1600</v>
      </c>
      <c r="D534" s="2017" t="s">
        <v>1606</v>
      </c>
      <c r="E534" s="2017" t="s">
        <v>1607</v>
      </c>
      <c r="F534" s="2017" t="s">
        <v>1726</v>
      </c>
      <c r="G534" s="2018">
        <v>11410308</v>
      </c>
      <c r="H534" s="2024"/>
    </row>
    <row r="535" spans="1:8" ht="15.75" customHeight="1" x14ac:dyDescent="0.25">
      <c r="A535" s="2017" t="s">
        <v>1817</v>
      </c>
      <c r="B535" s="2017" t="s">
        <v>1592</v>
      </c>
      <c r="C535" s="2017" t="s">
        <v>1600</v>
      </c>
      <c r="D535" s="2017" t="s">
        <v>1606</v>
      </c>
      <c r="E535" s="2017" t="s">
        <v>1784</v>
      </c>
      <c r="F535" s="2017" t="s">
        <v>1646</v>
      </c>
      <c r="G535" s="2018">
        <v>58500000</v>
      </c>
      <c r="H535" s="2024"/>
    </row>
    <row r="536" spans="1:8" ht="15.75" customHeight="1" x14ac:dyDescent="0.25">
      <c r="A536" s="2017" t="s">
        <v>1817</v>
      </c>
      <c r="B536" s="2017" t="s">
        <v>1592</v>
      </c>
      <c r="C536" s="2017" t="s">
        <v>1600</v>
      </c>
      <c r="D536" s="2017" t="s">
        <v>1606</v>
      </c>
      <c r="E536" s="2017" t="s">
        <v>1784</v>
      </c>
      <c r="F536" s="2017" t="s">
        <v>1785</v>
      </c>
      <c r="G536" s="2018">
        <v>58500000</v>
      </c>
      <c r="H536" s="2024"/>
    </row>
    <row r="537" spans="1:8" ht="15.75" customHeight="1" x14ac:dyDescent="0.25">
      <c r="A537" s="2017" t="s">
        <v>1817</v>
      </c>
      <c r="B537" s="2017" t="s">
        <v>1592</v>
      </c>
      <c r="C537" s="2017" t="s">
        <v>1600</v>
      </c>
      <c r="D537" s="2017" t="s">
        <v>1606</v>
      </c>
      <c r="E537" s="2017" t="s">
        <v>1743</v>
      </c>
      <c r="F537" s="2017" t="s">
        <v>1646</v>
      </c>
      <c r="G537" s="2018">
        <v>121003562</v>
      </c>
      <c r="H537" s="2024"/>
    </row>
    <row r="538" spans="1:8" ht="15.75" customHeight="1" x14ac:dyDescent="0.25">
      <c r="A538" s="2017" t="s">
        <v>1817</v>
      </c>
      <c r="B538" s="2017" t="s">
        <v>1592</v>
      </c>
      <c r="C538" s="2017" t="s">
        <v>1600</v>
      </c>
      <c r="D538" s="2017" t="s">
        <v>1606</v>
      </c>
      <c r="E538" s="2017" t="s">
        <v>1743</v>
      </c>
      <c r="F538" s="2017" t="s">
        <v>1744</v>
      </c>
      <c r="G538" s="2018">
        <v>91407035</v>
      </c>
      <c r="H538" s="2024"/>
    </row>
    <row r="539" spans="1:8" ht="15.75" customHeight="1" x14ac:dyDescent="0.25">
      <c r="A539" s="2017" t="s">
        <v>1817</v>
      </c>
      <c r="B539" s="2017" t="s">
        <v>1592</v>
      </c>
      <c r="C539" s="2017" t="s">
        <v>1600</v>
      </c>
      <c r="D539" s="2017" t="s">
        <v>1606</v>
      </c>
      <c r="E539" s="2017" t="s">
        <v>1743</v>
      </c>
      <c r="F539" s="2017" t="s">
        <v>1745</v>
      </c>
      <c r="G539" s="2018">
        <v>15669778</v>
      </c>
      <c r="H539" s="2024"/>
    </row>
    <row r="540" spans="1:8" ht="15.75" customHeight="1" x14ac:dyDescent="0.25">
      <c r="A540" s="2017" t="s">
        <v>1817</v>
      </c>
      <c r="B540" s="2017" t="s">
        <v>1592</v>
      </c>
      <c r="C540" s="2017" t="s">
        <v>1600</v>
      </c>
      <c r="D540" s="2017" t="s">
        <v>1606</v>
      </c>
      <c r="E540" s="2017" t="s">
        <v>1743</v>
      </c>
      <c r="F540" s="2017" t="s">
        <v>1746</v>
      </c>
      <c r="G540" s="2018">
        <v>8703490</v>
      </c>
      <c r="H540" s="2024"/>
    </row>
    <row r="541" spans="1:8" ht="15.75" customHeight="1" x14ac:dyDescent="0.25">
      <c r="A541" s="2017" t="s">
        <v>1817</v>
      </c>
      <c r="B541" s="2017" t="s">
        <v>1592</v>
      </c>
      <c r="C541" s="2017" t="s">
        <v>1600</v>
      </c>
      <c r="D541" s="2017" t="s">
        <v>1606</v>
      </c>
      <c r="E541" s="2017" t="s">
        <v>1743</v>
      </c>
      <c r="F541" s="2017" t="s">
        <v>1747</v>
      </c>
      <c r="G541" s="2018">
        <v>5223259</v>
      </c>
      <c r="H541" s="2024"/>
    </row>
    <row r="542" spans="1:8" ht="15.75" customHeight="1" x14ac:dyDescent="0.25">
      <c r="A542" s="2017" t="s">
        <v>1817</v>
      </c>
      <c r="B542" s="2017" t="s">
        <v>1592</v>
      </c>
      <c r="C542" s="2017" t="s">
        <v>1600</v>
      </c>
      <c r="D542" s="2017" t="s">
        <v>1606</v>
      </c>
      <c r="E542" s="2017" t="s">
        <v>1748</v>
      </c>
      <c r="F542" s="2017" t="s">
        <v>1646</v>
      </c>
      <c r="G542" s="2018">
        <v>25089463</v>
      </c>
      <c r="H542" s="2024"/>
    </row>
    <row r="543" spans="1:8" ht="15.75" customHeight="1" x14ac:dyDescent="0.25">
      <c r="A543" s="2017" t="s">
        <v>1817</v>
      </c>
      <c r="B543" s="2017" t="s">
        <v>1592</v>
      </c>
      <c r="C543" s="2017" t="s">
        <v>1600</v>
      </c>
      <c r="D543" s="2017" t="s">
        <v>1606</v>
      </c>
      <c r="E543" s="2017" t="s">
        <v>1748</v>
      </c>
      <c r="F543" s="2017" t="s">
        <v>1767</v>
      </c>
      <c r="G543" s="2018">
        <v>25089463</v>
      </c>
      <c r="H543" s="2024"/>
    </row>
    <row r="544" spans="1:8" ht="15.75" customHeight="1" x14ac:dyDescent="0.25">
      <c r="A544" s="2017" t="s">
        <v>1817</v>
      </c>
      <c r="B544" s="2017" t="s">
        <v>1592</v>
      </c>
      <c r="C544" s="2017" t="s">
        <v>1600</v>
      </c>
      <c r="D544" s="2017" t="s">
        <v>1606</v>
      </c>
      <c r="E544" s="2017" t="s">
        <v>1751</v>
      </c>
      <c r="F544" s="2017" t="s">
        <v>1646</v>
      </c>
      <c r="G544" s="2018">
        <v>5590198</v>
      </c>
      <c r="H544" s="2024"/>
    </row>
    <row r="545" spans="1:8" ht="15.75" customHeight="1" x14ac:dyDescent="0.25">
      <c r="A545" s="2017" t="s">
        <v>1817</v>
      </c>
      <c r="B545" s="2017" t="s">
        <v>1592</v>
      </c>
      <c r="C545" s="2017" t="s">
        <v>1600</v>
      </c>
      <c r="D545" s="2017" t="s">
        <v>1606</v>
      </c>
      <c r="E545" s="2017" t="s">
        <v>1751</v>
      </c>
      <c r="F545" s="2017" t="s">
        <v>1752</v>
      </c>
      <c r="G545" s="2018">
        <v>5122946</v>
      </c>
      <c r="H545" s="2024"/>
    </row>
    <row r="546" spans="1:8" ht="15.75" customHeight="1" x14ac:dyDescent="0.25">
      <c r="A546" s="2017" t="s">
        <v>1817</v>
      </c>
      <c r="B546" s="2017" t="s">
        <v>1592</v>
      </c>
      <c r="C546" s="2017" t="s">
        <v>1600</v>
      </c>
      <c r="D546" s="2017" t="s">
        <v>1606</v>
      </c>
      <c r="E546" s="2017" t="s">
        <v>1751</v>
      </c>
      <c r="F546" s="2017" t="s">
        <v>1818</v>
      </c>
      <c r="G546" s="2018">
        <v>467252</v>
      </c>
      <c r="H546" s="2024"/>
    </row>
    <row r="547" spans="1:8" ht="15.75" customHeight="1" x14ac:dyDescent="0.25">
      <c r="A547" s="2017" t="s">
        <v>1817</v>
      </c>
      <c r="B547" s="2017" t="s">
        <v>1592</v>
      </c>
      <c r="C547" s="2017" t="s">
        <v>1600</v>
      </c>
      <c r="D547" s="2017" t="s">
        <v>1606</v>
      </c>
      <c r="E547" s="2017" t="s">
        <v>1623</v>
      </c>
      <c r="F547" s="2017" t="s">
        <v>1646</v>
      </c>
      <c r="G547" s="2018">
        <v>8587191</v>
      </c>
      <c r="H547" s="2024"/>
    </row>
    <row r="548" spans="1:8" ht="15.75" customHeight="1" x14ac:dyDescent="0.25">
      <c r="A548" s="2017" t="s">
        <v>1817</v>
      </c>
      <c r="B548" s="2017" t="s">
        <v>1592</v>
      </c>
      <c r="C548" s="2017" t="s">
        <v>1600</v>
      </c>
      <c r="D548" s="2017" t="s">
        <v>1606</v>
      </c>
      <c r="E548" s="2017" t="s">
        <v>1623</v>
      </c>
      <c r="F548" s="2017" t="s">
        <v>1624</v>
      </c>
      <c r="G548" s="2018">
        <v>8587191</v>
      </c>
      <c r="H548" s="2024"/>
    </row>
    <row r="549" spans="1:8" ht="15.75" customHeight="1" x14ac:dyDescent="0.25">
      <c r="A549" s="2017" t="s">
        <v>1817</v>
      </c>
      <c r="B549" s="2017" t="s">
        <v>1592</v>
      </c>
      <c r="C549" s="2017" t="s">
        <v>1600</v>
      </c>
      <c r="D549" s="2017" t="s">
        <v>1606</v>
      </c>
      <c r="E549" s="2017" t="s">
        <v>1652</v>
      </c>
      <c r="F549" s="2017" t="s">
        <v>1646</v>
      </c>
      <c r="G549" s="2018">
        <v>1155000</v>
      </c>
      <c r="H549" s="2024"/>
    </row>
    <row r="550" spans="1:8" ht="15.75" customHeight="1" x14ac:dyDescent="0.25">
      <c r="A550" s="2017" t="s">
        <v>1817</v>
      </c>
      <c r="B550" s="2017" t="s">
        <v>1592</v>
      </c>
      <c r="C550" s="2017" t="s">
        <v>1600</v>
      </c>
      <c r="D550" s="2017" t="s">
        <v>1606</v>
      </c>
      <c r="E550" s="2017" t="s">
        <v>1652</v>
      </c>
      <c r="F550" s="2017" t="s">
        <v>1755</v>
      </c>
      <c r="G550" s="2018">
        <v>1155000</v>
      </c>
      <c r="H550" s="2024"/>
    </row>
    <row r="551" spans="1:8" ht="15.75" customHeight="1" x14ac:dyDescent="0.25">
      <c r="A551" s="2017" t="s">
        <v>1817</v>
      </c>
      <c r="B551" s="2017" t="s">
        <v>1592</v>
      </c>
      <c r="C551" s="2017" t="s">
        <v>1600</v>
      </c>
      <c r="D551" s="2017" t="s">
        <v>1606</v>
      </c>
      <c r="E551" s="2017" t="s">
        <v>1609</v>
      </c>
      <c r="F551" s="2017" t="s">
        <v>1646</v>
      </c>
      <c r="G551" s="2018">
        <v>62476600</v>
      </c>
      <c r="H551" s="2024"/>
    </row>
    <row r="552" spans="1:8" ht="15.75" customHeight="1" x14ac:dyDescent="0.25">
      <c r="A552" s="2017" t="s">
        <v>1817</v>
      </c>
      <c r="B552" s="2017" t="s">
        <v>1592</v>
      </c>
      <c r="C552" s="2017" t="s">
        <v>1600</v>
      </c>
      <c r="D552" s="2017" t="s">
        <v>1606</v>
      </c>
      <c r="E552" s="2017" t="s">
        <v>1609</v>
      </c>
      <c r="F552" s="2017" t="s">
        <v>1610</v>
      </c>
      <c r="G552" s="2018">
        <v>5576600</v>
      </c>
      <c r="H552" s="2024"/>
    </row>
    <row r="553" spans="1:8" ht="15.75" customHeight="1" x14ac:dyDescent="0.25">
      <c r="A553" s="2017" t="s">
        <v>1817</v>
      </c>
      <c r="B553" s="2017" t="s">
        <v>1592</v>
      </c>
      <c r="C553" s="2017" t="s">
        <v>1600</v>
      </c>
      <c r="D553" s="2017" t="s">
        <v>1606</v>
      </c>
      <c r="E553" s="2017" t="s">
        <v>1609</v>
      </c>
      <c r="F553" s="2017" t="s">
        <v>1611</v>
      </c>
      <c r="G553" s="2018">
        <v>18900000</v>
      </c>
      <c r="H553" s="2024"/>
    </row>
    <row r="554" spans="1:8" ht="15.75" customHeight="1" x14ac:dyDescent="0.25">
      <c r="A554" s="2017" t="s">
        <v>1817</v>
      </c>
      <c r="B554" s="2017" t="s">
        <v>1592</v>
      </c>
      <c r="C554" s="2017" t="s">
        <v>1600</v>
      </c>
      <c r="D554" s="2017" t="s">
        <v>1606</v>
      </c>
      <c r="E554" s="2017" t="s">
        <v>1609</v>
      </c>
      <c r="F554" s="2017" t="s">
        <v>1832</v>
      </c>
      <c r="G554" s="2018">
        <v>2600000</v>
      </c>
      <c r="H554" s="2024"/>
    </row>
    <row r="555" spans="1:8" ht="15.75" customHeight="1" x14ac:dyDescent="0.25">
      <c r="A555" s="2017" t="s">
        <v>1817</v>
      </c>
      <c r="B555" s="2017" t="s">
        <v>1592</v>
      </c>
      <c r="C555" s="2017" t="s">
        <v>1600</v>
      </c>
      <c r="D555" s="2017" t="s">
        <v>1606</v>
      </c>
      <c r="E555" s="2017" t="s">
        <v>1609</v>
      </c>
      <c r="F555" s="2017" t="s">
        <v>1612</v>
      </c>
      <c r="G555" s="2018">
        <v>35400000</v>
      </c>
      <c r="H555" s="2024"/>
    </row>
    <row r="556" spans="1:8" ht="15.75" customHeight="1" x14ac:dyDescent="0.25">
      <c r="A556" s="2017" t="s">
        <v>1817</v>
      </c>
      <c r="B556" s="2017" t="s">
        <v>1592</v>
      </c>
      <c r="C556" s="2017" t="s">
        <v>1600</v>
      </c>
      <c r="D556" s="2017" t="s">
        <v>1606</v>
      </c>
      <c r="E556" s="2017" t="s">
        <v>1660</v>
      </c>
      <c r="F556" s="2017" t="s">
        <v>1646</v>
      </c>
      <c r="G556" s="2018">
        <v>6900000</v>
      </c>
      <c r="H556" s="2024"/>
    </row>
    <row r="557" spans="1:8" ht="15.75" customHeight="1" x14ac:dyDescent="0.25">
      <c r="A557" s="2017" t="s">
        <v>1817</v>
      </c>
      <c r="B557" s="2017" t="s">
        <v>1592</v>
      </c>
      <c r="C557" s="2017" t="s">
        <v>1600</v>
      </c>
      <c r="D557" s="2017" t="s">
        <v>1606</v>
      </c>
      <c r="E557" s="2017" t="s">
        <v>1660</v>
      </c>
      <c r="F557" s="2017" t="s">
        <v>1661</v>
      </c>
      <c r="G557" s="2018">
        <v>1800000</v>
      </c>
      <c r="H557" s="2024"/>
    </row>
    <row r="558" spans="1:8" ht="15.75" customHeight="1" x14ac:dyDescent="0.25">
      <c r="A558" s="2017" t="s">
        <v>1817</v>
      </c>
      <c r="B558" s="2017" t="s">
        <v>1592</v>
      </c>
      <c r="C558" s="2017" t="s">
        <v>1600</v>
      </c>
      <c r="D558" s="2017" t="s">
        <v>1606</v>
      </c>
      <c r="E558" s="2017" t="s">
        <v>1660</v>
      </c>
      <c r="F558" s="2017" t="s">
        <v>1662</v>
      </c>
      <c r="G558" s="2018">
        <v>2100000</v>
      </c>
      <c r="H558" s="2024"/>
    </row>
    <row r="559" spans="1:8" ht="15.75" customHeight="1" x14ac:dyDescent="0.25">
      <c r="A559" s="2017" t="s">
        <v>1817</v>
      </c>
      <c r="B559" s="2017" t="s">
        <v>1592</v>
      </c>
      <c r="C559" s="2017" t="s">
        <v>1600</v>
      </c>
      <c r="D559" s="2017" t="s">
        <v>1606</v>
      </c>
      <c r="E559" s="2017" t="s">
        <v>1660</v>
      </c>
      <c r="F559" s="2017" t="s">
        <v>1768</v>
      </c>
      <c r="G559" s="2018">
        <v>3000000</v>
      </c>
      <c r="H559" s="2024"/>
    </row>
    <row r="560" spans="1:8" ht="15.75" customHeight="1" x14ac:dyDescent="0.25">
      <c r="A560" s="2017" t="s">
        <v>1817</v>
      </c>
      <c r="B560" s="2017" t="s">
        <v>1592</v>
      </c>
      <c r="C560" s="2017" t="s">
        <v>1600</v>
      </c>
      <c r="D560" s="2017" t="s">
        <v>1606</v>
      </c>
      <c r="E560" s="2017" t="s">
        <v>1654</v>
      </c>
      <c r="F560" s="2017" t="s">
        <v>1646</v>
      </c>
      <c r="G560" s="2018">
        <v>30560000</v>
      </c>
      <c r="H560" s="2024"/>
    </row>
    <row r="561" spans="1:8" ht="15.75" customHeight="1" x14ac:dyDescent="0.25">
      <c r="A561" s="2017" t="s">
        <v>1817</v>
      </c>
      <c r="B561" s="2017" t="s">
        <v>1592</v>
      </c>
      <c r="C561" s="2017" t="s">
        <v>1600</v>
      </c>
      <c r="D561" s="2017" t="s">
        <v>1606</v>
      </c>
      <c r="E561" s="2017" t="s">
        <v>1654</v>
      </c>
      <c r="F561" s="2017" t="s">
        <v>1663</v>
      </c>
      <c r="G561" s="2018">
        <v>9000000</v>
      </c>
      <c r="H561" s="2024"/>
    </row>
    <row r="562" spans="1:8" ht="15.75" customHeight="1" x14ac:dyDescent="0.25">
      <c r="A562" s="2017" t="s">
        <v>1817</v>
      </c>
      <c r="B562" s="2017" t="s">
        <v>1592</v>
      </c>
      <c r="C562" s="2017" t="s">
        <v>1600</v>
      </c>
      <c r="D562" s="2017" t="s">
        <v>1606</v>
      </c>
      <c r="E562" s="2017" t="s">
        <v>1654</v>
      </c>
      <c r="F562" s="2017" t="s">
        <v>1655</v>
      </c>
      <c r="G562" s="2018">
        <v>21560000</v>
      </c>
      <c r="H562" s="2024"/>
    </row>
    <row r="563" spans="1:8" ht="15.75" customHeight="1" x14ac:dyDescent="0.25">
      <c r="A563" s="2017" t="s">
        <v>1817</v>
      </c>
      <c r="B563" s="2017" t="s">
        <v>1592</v>
      </c>
      <c r="C563" s="2017" t="s">
        <v>1600</v>
      </c>
      <c r="D563" s="2017" t="s">
        <v>1606</v>
      </c>
      <c r="E563" s="2017" t="s">
        <v>1602</v>
      </c>
      <c r="F563" s="2017" t="s">
        <v>1646</v>
      </c>
      <c r="G563" s="2018">
        <v>4730000</v>
      </c>
      <c r="H563" s="2024"/>
    </row>
    <row r="564" spans="1:8" ht="15.75" customHeight="1" x14ac:dyDescent="0.25">
      <c r="A564" s="2017" t="s">
        <v>1817</v>
      </c>
      <c r="B564" s="2017" t="s">
        <v>1592</v>
      </c>
      <c r="C564" s="2017" t="s">
        <v>1600</v>
      </c>
      <c r="D564" s="2017" t="s">
        <v>1606</v>
      </c>
      <c r="E564" s="2017" t="s">
        <v>1602</v>
      </c>
      <c r="F564" s="2017" t="s">
        <v>1680</v>
      </c>
      <c r="G564" s="2018">
        <v>4730000</v>
      </c>
      <c r="H564" s="2024"/>
    </row>
    <row r="565" spans="1:8" ht="15.75" customHeight="1" x14ac:dyDescent="0.25">
      <c r="A565" s="2017" t="s">
        <v>1817</v>
      </c>
      <c r="B565" s="2017" t="s">
        <v>1592</v>
      </c>
      <c r="C565" s="2017" t="s">
        <v>1600</v>
      </c>
      <c r="D565" s="2017" t="s">
        <v>1606</v>
      </c>
      <c r="E565" s="2017" t="s">
        <v>1618</v>
      </c>
      <c r="F565" s="2017" t="s">
        <v>1646</v>
      </c>
      <c r="G565" s="2018">
        <v>1032364600</v>
      </c>
      <c r="H565" s="2024"/>
    </row>
    <row r="566" spans="1:8" ht="15.75" customHeight="1" x14ac:dyDescent="0.25">
      <c r="A566" s="2017" t="s">
        <v>1817</v>
      </c>
      <c r="B566" s="2017" t="s">
        <v>1592</v>
      </c>
      <c r="C566" s="2017" t="s">
        <v>1600</v>
      </c>
      <c r="D566" s="2017" t="s">
        <v>1606</v>
      </c>
      <c r="E566" s="2017" t="s">
        <v>1618</v>
      </c>
      <c r="F566" s="2017" t="s">
        <v>1619</v>
      </c>
      <c r="G566" s="2018">
        <v>928834600</v>
      </c>
      <c r="H566" s="2024"/>
    </row>
    <row r="567" spans="1:8" ht="15.75" customHeight="1" x14ac:dyDescent="0.25">
      <c r="A567" s="2017" t="s">
        <v>1817</v>
      </c>
      <c r="B567" s="2017" t="s">
        <v>1592</v>
      </c>
      <c r="C567" s="2017" t="s">
        <v>1600</v>
      </c>
      <c r="D567" s="2017" t="s">
        <v>1606</v>
      </c>
      <c r="E567" s="2017" t="s">
        <v>1618</v>
      </c>
      <c r="F567" s="2017" t="s">
        <v>1622</v>
      </c>
      <c r="G567" s="2018">
        <v>103530000</v>
      </c>
      <c r="H567" s="2024"/>
    </row>
    <row r="568" spans="1:8" ht="15.75" customHeight="1" x14ac:dyDescent="0.25">
      <c r="A568" s="2017" t="s">
        <v>1817</v>
      </c>
      <c r="B568" s="2017" t="s">
        <v>1592</v>
      </c>
      <c r="C568" s="2017" t="s">
        <v>1600</v>
      </c>
      <c r="D568" s="2017" t="s">
        <v>1606</v>
      </c>
      <c r="E568" s="2017" t="s">
        <v>1615</v>
      </c>
      <c r="F568" s="2017" t="s">
        <v>1646</v>
      </c>
      <c r="G568" s="2018">
        <v>9940000</v>
      </c>
      <c r="H568" s="2024"/>
    </row>
    <row r="569" spans="1:8" ht="15.75" customHeight="1" x14ac:dyDescent="0.25">
      <c r="A569" s="2017" t="s">
        <v>1817</v>
      </c>
      <c r="B569" s="2017" t="s">
        <v>1592</v>
      </c>
      <c r="C569" s="2017" t="s">
        <v>1600</v>
      </c>
      <c r="D569" s="2017" t="s">
        <v>1606</v>
      </c>
      <c r="E569" s="2017" t="s">
        <v>1615</v>
      </c>
      <c r="F569" s="2017" t="s">
        <v>1763</v>
      </c>
      <c r="G569" s="2018">
        <v>9940000</v>
      </c>
      <c r="H569" s="2024"/>
    </row>
    <row r="570" spans="1:8" ht="15.75" customHeight="1" x14ac:dyDescent="0.25">
      <c r="A570" s="2017" t="s">
        <v>1817</v>
      </c>
      <c r="B570" s="2017" t="s">
        <v>1592</v>
      </c>
      <c r="C570" s="2017" t="s">
        <v>1600</v>
      </c>
      <c r="D570" s="2017" t="s">
        <v>1606</v>
      </c>
      <c r="E570" s="2017" t="s">
        <v>1801</v>
      </c>
      <c r="F570" s="2017" t="s">
        <v>1646</v>
      </c>
      <c r="G570" s="2018">
        <v>8424000</v>
      </c>
      <c r="H570" s="2024"/>
    </row>
    <row r="571" spans="1:8" ht="15.75" customHeight="1" x14ac:dyDescent="0.25">
      <c r="A571" s="2017" t="s">
        <v>1817</v>
      </c>
      <c r="B571" s="2017" t="s">
        <v>1592</v>
      </c>
      <c r="C571" s="2017" t="s">
        <v>1600</v>
      </c>
      <c r="D571" s="2017" t="s">
        <v>1606</v>
      </c>
      <c r="E571" s="2017" t="s">
        <v>1801</v>
      </c>
      <c r="F571" s="2017" t="s">
        <v>1804</v>
      </c>
      <c r="G571" s="2018">
        <v>8424000</v>
      </c>
      <c r="H571" s="2024"/>
    </row>
    <row r="572" spans="1:8" ht="15.75" customHeight="1" x14ac:dyDescent="0.25">
      <c r="A572" s="2017" t="s">
        <v>1817</v>
      </c>
      <c r="B572" s="2017" t="s">
        <v>1592</v>
      </c>
      <c r="C572" s="2017" t="s">
        <v>1600</v>
      </c>
      <c r="D572" s="2017" t="s">
        <v>1636</v>
      </c>
      <c r="E572" s="2017" t="s">
        <v>1646</v>
      </c>
      <c r="F572" s="2017" t="s">
        <v>1646</v>
      </c>
      <c r="G572" s="2018">
        <v>293149297</v>
      </c>
      <c r="H572" s="2024"/>
    </row>
    <row r="573" spans="1:8" ht="15.75" customHeight="1" x14ac:dyDescent="0.25">
      <c r="A573" s="2017" t="s">
        <v>1817</v>
      </c>
      <c r="B573" s="2017" t="s">
        <v>1592</v>
      </c>
      <c r="C573" s="2017" t="s">
        <v>1600</v>
      </c>
      <c r="D573" s="2017" t="s">
        <v>1636</v>
      </c>
      <c r="E573" s="2017" t="s">
        <v>1607</v>
      </c>
      <c r="F573" s="2017" t="s">
        <v>1646</v>
      </c>
      <c r="G573" s="2018">
        <v>12460000</v>
      </c>
      <c r="H573" s="2024"/>
    </row>
    <row r="574" spans="1:8" ht="15.75" customHeight="1" x14ac:dyDescent="0.25">
      <c r="A574" s="2017" t="s">
        <v>1817</v>
      </c>
      <c r="B574" s="2017" t="s">
        <v>1592</v>
      </c>
      <c r="C574" s="2017" t="s">
        <v>1600</v>
      </c>
      <c r="D574" s="2017" t="s">
        <v>1636</v>
      </c>
      <c r="E574" s="2017" t="s">
        <v>1607</v>
      </c>
      <c r="F574" s="2017" t="s">
        <v>1608</v>
      </c>
      <c r="G574" s="2018">
        <v>12460000</v>
      </c>
      <c r="H574" s="2024"/>
    </row>
    <row r="575" spans="1:8" ht="15.75" customHeight="1" x14ac:dyDescent="0.25">
      <c r="A575" s="2017" t="s">
        <v>1817</v>
      </c>
      <c r="B575" s="2017" t="s">
        <v>1592</v>
      </c>
      <c r="C575" s="2017" t="s">
        <v>1600</v>
      </c>
      <c r="D575" s="2017" t="s">
        <v>1636</v>
      </c>
      <c r="E575" s="2017" t="s">
        <v>1654</v>
      </c>
      <c r="F575" s="2017" t="s">
        <v>1646</v>
      </c>
      <c r="G575" s="2018">
        <v>251808150</v>
      </c>
      <c r="H575" s="2024"/>
    </row>
    <row r="576" spans="1:8" ht="15.75" customHeight="1" x14ac:dyDescent="0.25">
      <c r="A576" s="2017" t="s">
        <v>1817</v>
      </c>
      <c r="B576" s="2017" t="s">
        <v>1592</v>
      </c>
      <c r="C576" s="2017" t="s">
        <v>1600</v>
      </c>
      <c r="D576" s="2017" t="s">
        <v>1636</v>
      </c>
      <c r="E576" s="2017" t="s">
        <v>1654</v>
      </c>
      <c r="F576" s="2017" t="s">
        <v>1655</v>
      </c>
      <c r="G576" s="2018">
        <v>251808150</v>
      </c>
      <c r="H576" s="2024"/>
    </row>
    <row r="577" spans="1:8" ht="15.75" customHeight="1" x14ac:dyDescent="0.25">
      <c r="A577" s="2017" t="s">
        <v>1817</v>
      </c>
      <c r="B577" s="2017" t="s">
        <v>1592</v>
      </c>
      <c r="C577" s="2017" t="s">
        <v>1600</v>
      </c>
      <c r="D577" s="2017" t="s">
        <v>1636</v>
      </c>
      <c r="E577" s="2017" t="s">
        <v>1618</v>
      </c>
      <c r="F577" s="2017" t="s">
        <v>1646</v>
      </c>
      <c r="G577" s="2018">
        <v>24381147</v>
      </c>
      <c r="H577" s="2024"/>
    </row>
    <row r="578" spans="1:8" ht="15.75" customHeight="1" x14ac:dyDescent="0.25">
      <c r="A578" s="2017" t="s">
        <v>1817</v>
      </c>
      <c r="B578" s="2017" t="s">
        <v>1592</v>
      </c>
      <c r="C578" s="2017" t="s">
        <v>1600</v>
      </c>
      <c r="D578" s="2017" t="s">
        <v>1636</v>
      </c>
      <c r="E578" s="2017" t="s">
        <v>1618</v>
      </c>
      <c r="F578" s="2017" t="s">
        <v>1622</v>
      </c>
      <c r="G578" s="2018">
        <v>24381147</v>
      </c>
      <c r="H578" s="2024"/>
    </row>
    <row r="579" spans="1:8" ht="15.75" customHeight="1" x14ac:dyDescent="0.25">
      <c r="A579" s="2017" t="s">
        <v>1817</v>
      </c>
      <c r="B579" s="2017" t="s">
        <v>1592</v>
      </c>
      <c r="C579" s="2017" t="s">
        <v>1600</v>
      </c>
      <c r="D579" s="2017" t="s">
        <v>1636</v>
      </c>
      <c r="E579" s="2017" t="s">
        <v>1615</v>
      </c>
      <c r="F579" s="2017" t="s">
        <v>1646</v>
      </c>
      <c r="G579" s="2018">
        <v>4500000</v>
      </c>
      <c r="H579" s="2024"/>
    </row>
    <row r="580" spans="1:8" ht="15.75" customHeight="1" x14ac:dyDescent="0.25">
      <c r="A580" s="2017" t="s">
        <v>1817</v>
      </c>
      <c r="B580" s="2017" t="s">
        <v>1592</v>
      </c>
      <c r="C580" s="2017" t="s">
        <v>1600</v>
      </c>
      <c r="D580" s="2017" t="s">
        <v>1636</v>
      </c>
      <c r="E580" s="2017" t="s">
        <v>1615</v>
      </c>
      <c r="F580" s="2017" t="s">
        <v>1616</v>
      </c>
      <c r="G580" s="2018">
        <v>4500000</v>
      </c>
      <c r="H580" s="2024"/>
    </row>
    <row r="581" spans="1:8" ht="15.75" customHeight="1" x14ac:dyDescent="0.25">
      <c r="A581" s="2017" t="s">
        <v>1817</v>
      </c>
      <c r="B581" s="2017" t="s">
        <v>1592</v>
      </c>
      <c r="C581" s="2017" t="s">
        <v>1600</v>
      </c>
      <c r="D581" s="2017" t="s">
        <v>1601</v>
      </c>
      <c r="E581" s="2017" t="s">
        <v>1646</v>
      </c>
      <c r="F581" s="2017" t="s">
        <v>1646</v>
      </c>
      <c r="G581" s="2018">
        <v>228613229</v>
      </c>
      <c r="H581" s="2024"/>
    </row>
    <row r="582" spans="1:8" ht="15.75" customHeight="1" x14ac:dyDescent="0.25">
      <c r="A582" s="2017" t="s">
        <v>1817</v>
      </c>
      <c r="B582" s="2017" t="s">
        <v>1592</v>
      </c>
      <c r="C582" s="2017" t="s">
        <v>1600</v>
      </c>
      <c r="D582" s="2017" t="s">
        <v>1601</v>
      </c>
      <c r="E582" s="2017" t="s">
        <v>1602</v>
      </c>
      <c r="F582" s="2017" t="s">
        <v>1646</v>
      </c>
      <c r="G582" s="2018">
        <v>103613229</v>
      </c>
      <c r="H582" s="2024"/>
    </row>
    <row r="583" spans="1:8" ht="15.75" customHeight="1" x14ac:dyDescent="0.25">
      <c r="A583" s="2017" t="s">
        <v>1817</v>
      </c>
      <c r="B583" s="2017" t="s">
        <v>1592</v>
      </c>
      <c r="C583" s="2017" t="s">
        <v>1600</v>
      </c>
      <c r="D583" s="2017" t="s">
        <v>1601</v>
      </c>
      <c r="E583" s="2017" t="s">
        <v>1602</v>
      </c>
      <c r="F583" s="2017" t="s">
        <v>1761</v>
      </c>
      <c r="G583" s="2018">
        <v>103613229</v>
      </c>
      <c r="H583" s="2024"/>
    </row>
    <row r="584" spans="1:8" ht="15.75" customHeight="1" x14ac:dyDescent="0.25">
      <c r="A584" s="2017" t="s">
        <v>1817</v>
      </c>
      <c r="B584" s="2017" t="s">
        <v>1592</v>
      </c>
      <c r="C584" s="2017" t="s">
        <v>1600</v>
      </c>
      <c r="D584" s="2017" t="s">
        <v>1601</v>
      </c>
      <c r="E584" s="2017" t="s">
        <v>1618</v>
      </c>
      <c r="F584" s="2017" t="s">
        <v>1646</v>
      </c>
      <c r="G584" s="2018">
        <v>125000000</v>
      </c>
      <c r="H584" s="2024"/>
    </row>
    <row r="585" spans="1:8" ht="15.75" customHeight="1" x14ac:dyDescent="0.25">
      <c r="A585" s="2017" t="s">
        <v>1817</v>
      </c>
      <c r="B585" s="2017" t="s">
        <v>1592</v>
      </c>
      <c r="C585" s="2017" t="s">
        <v>1600</v>
      </c>
      <c r="D585" s="2017" t="s">
        <v>1601</v>
      </c>
      <c r="E585" s="2017" t="s">
        <v>1618</v>
      </c>
      <c r="F585" s="2017" t="s">
        <v>1622</v>
      </c>
      <c r="G585" s="2018">
        <v>125000000</v>
      </c>
      <c r="H585" s="2024"/>
    </row>
    <row r="586" spans="1:8" ht="15.75" customHeight="1" x14ac:dyDescent="0.25">
      <c r="A586" s="2017" t="s">
        <v>1817</v>
      </c>
      <c r="B586" s="2017" t="s">
        <v>1592</v>
      </c>
      <c r="C586" s="2017" t="s">
        <v>1600</v>
      </c>
      <c r="D586" s="2017" t="s">
        <v>1603</v>
      </c>
      <c r="E586" s="2017" t="s">
        <v>1646</v>
      </c>
      <c r="F586" s="2017" t="s">
        <v>1646</v>
      </c>
      <c r="G586" s="2018">
        <v>3468362816</v>
      </c>
      <c r="H586" s="2024"/>
    </row>
    <row r="587" spans="1:8" ht="15.75" customHeight="1" x14ac:dyDescent="0.25">
      <c r="A587" s="2017" t="s">
        <v>1817</v>
      </c>
      <c r="B587" s="2017" t="s">
        <v>1592</v>
      </c>
      <c r="C587" s="2017" t="s">
        <v>1600</v>
      </c>
      <c r="D587" s="2017" t="s">
        <v>1603</v>
      </c>
      <c r="E587" s="2017" t="s">
        <v>1602</v>
      </c>
      <c r="F587" s="2017" t="s">
        <v>1646</v>
      </c>
      <c r="G587" s="2018">
        <v>1388510660</v>
      </c>
      <c r="H587" s="2024"/>
    </row>
    <row r="588" spans="1:8" ht="15.75" customHeight="1" x14ac:dyDescent="0.25">
      <c r="A588" s="2017" t="s">
        <v>1817</v>
      </c>
      <c r="B588" s="2017" t="s">
        <v>1592</v>
      </c>
      <c r="C588" s="2017" t="s">
        <v>1600</v>
      </c>
      <c r="D588" s="2017" t="s">
        <v>1603</v>
      </c>
      <c r="E588" s="2017" t="s">
        <v>1602</v>
      </c>
      <c r="F588" s="2017" t="s">
        <v>1637</v>
      </c>
      <c r="G588" s="2018">
        <v>1388510660</v>
      </c>
      <c r="H588" s="2024"/>
    </row>
    <row r="589" spans="1:8" ht="15.75" customHeight="1" x14ac:dyDescent="0.25">
      <c r="A589" s="2017" t="s">
        <v>1817</v>
      </c>
      <c r="B589" s="2017" t="s">
        <v>1592</v>
      </c>
      <c r="C589" s="2017" t="s">
        <v>1600</v>
      </c>
      <c r="D589" s="2017" t="s">
        <v>1603</v>
      </c>
      <c r="E589" s="2017" t="s">
        <v>1604</v>
      </c>
      <c r="F589" s="2017" t="s">
        <v>1646</v>
      </c>
      <c r="G589" s="2018">
        <v>13090000</v>
      </c>
      <c r="H589" s="2024"/>
    </row>
    <row r="590" spans="1:8" ht="15.75" customHeight="1" x14ac:dyDescent="0.25">
      <c r="A590" s="2017" t="s">
        <v>1817</v>
      </c>
      <c r="B590" s="2017" t="s">
        <v>1592</v>
      </c>
      <c r="C590" s="2017" t="s">
        <v>1600</v>
      </c>
      <c r="D590" s="2017" t="s">
        <v>1603</v>
      </c>
      <c r="E590" s="2017" t="s">
        <v>1604</v>
      </c>
      <c r="F590" s="2017" t="s">
        <v>1821</v>
      </c>
      <c r="G590" s="2018">
        <v>13090000</v>
      </c>
      <c r="H590" s="2024"/>
    </row>
    <row r="591" spans="1:8" ht="15.75" customHeight="1" x14ac:dyDescent="0.25">
      <c r="A591" s="2017" t="s">
        <v>1817</v>
      </c>
      <c r="B591" s="2017" t="s">
        <v>1592</v>
      </c>
      <c r="C591" s="2017" t="s">
        <v>1600</v>
      </c>
      <c r="D591" s="2017" t="s">
        <v>1603</v>
      </c>
      <c r="E591" s="2017" t="s">
        <v>1595</v>
      </c>
      <c r="F591" s="2017" t="s">
        <v>1646</v>
      </c>
      <c r="G591" s="2018">
        <v>1922255608</v>
      </c>
      <c r="H591" s="2024"/>
    </row>
    <row r="592" spans="1:8" ht="15.75" customHeight="1" x14ac:dyDescent="0.25">
      <c r="A592" s="2017" t="s">
        <v>1817</v>
      </c>
      <c r="B592" s="2017" t="s">
        <v>1592</v>
      </c>
      <c r="C592" s="2017" t="s">
        <v>1600</v>
      </c>
      <c r="D592" s="2017" t="s">
        <v>1603</v>
      </c>
      <c r="E592" s="2017" t="s">
        <v>1595</v>
      </c>
      <c r="F592" s="2017" t="s">
        <v>1596</v>
      </c>
      <c r="G592" s="2018">
        <v>1922255608</v>
      </c>
      <c r="H592" s="2024"/>
    </row>
    <row r="593" spans="1:8" ht="15.75" customHeight="1" x14ac:dyDescent="0.25">
      <c r="A593" s="2017" t="s">
        <v>1817</v>
      </c>
      <c r="B593" s="2017" t="s">
        <v>1592</v>
      </c>
      <c r="C593" s="2017" t="s">
        <v>1600</v>
      </c>
      <c r="D593" s="2017" t="s">
        <v>1603</v>
      </c>
      <c r="E593" s="2017" t="s">
        <v>1597</v>
      </c>
      <c r="F593" s="2017" t="s">
        <v>1646</v>
      </c>
      <c r="G593" s="2018">
        <v>144506548</v>
      </c>
      <c r="H593" s="2024"/>
    </row>
    <row r="594" spans="1:8" ht="15.75" customHeight="1" x14ac:dyDescent="0.25">
      <c r="A594" s="2017" t="s">
        <v>1817</v>
      </c>
      <c r="B594" s="2017" t="s">
        <v>1592</v>
      </c>
      <c r="C594" s="2017" t="s">
        <v>1600</v>
      </c>
      <c r="D594" s="2017" t="s">
        <v>1603</v>
      </c>
      <c r="E594" s="2017" t="s">
        <v>1597</v>
      </c>
      <c r="F594" s="2017" t="s">
        <v>1598</v>
      </c>
      <c r="G594" s="2018">
        <v>30388366</v>
      </c>
      <c r="H594" s="2024"/>
    </row>
    <row r="595" spans="1:8" ht="15.75" customHeight="1" x14ac:dyDescent="0.25">
      <c r="A595" s="2017" t="s">
        <v>1817</v>
      </c>
      <c r="B595" s="2017" t="s">
        <v>1592</v>
      </c>
      <c r="C595" s="2017" t="s">
        <v>1600</v>
      </c>
      <c r="D595" s="2017" t="s">
        <v>1603</v>
      </c>
      <c r="E595" s="2017" t="s">
        <v>1597</v>
      </c>
      <c r="F595" s="2017" t="s">
        <v>1599</v>
      </c>
      <c r="G595" s="2018">
        <v>66339182</v>
      </c>
      <c r="H595" s="2024"/>
    </row>
    <row r="596" spans="1:8" ht="15.75" customHeight="1" x14ac:dyDescent="0.25">
      <c r="A596" s="2017" t="s">
        <v>1817</v>
      </c>
      <c r="B596" s="2017" t="s">
        <v>1592</v>
      </c>
      <c r="C596" s="2017" t="s">
        <v>1600</v>
      </c>
      <c r="D596" s="2017" t="s">
        <v>1603</v>
      </c>
      <c r="E596" s="2017" t="s">
        <v>1597</v>
      </c>
      <c r="F596" s="2017" t="s">
        <v>1605</v>
      </c>
      <c r="G596" s="2018">
        <v>47779000</v>
      </c>
      <c r="H596" s="2024"/>
    </row>
    <row r="597" spans="1:8" ht="15.75" customHeight="1" x14ac:dyDescent="0.25">
      <c r="A597" s="2017" t="s">
        <v>1817</v>
      </c>
      <c r="B597" s="2017" t="s">
        <v>1592</v>
      </c>
      <c r="C597" s="2017" t="s">
        <v>1600</v>
      </c>
      <c r="D597" s="2017" t="s">
        <v>1833</v>
      </c>
      <c r="E597" s="2017" t="s">
        <v>1646</v>
      </c>
      <c r="F597" s="2017" t="s">
        <v>1646</v>
      </c>
      <c r="G597" s="2018">
        <v>47985397</v>
      </c>
      <c r="H597" s="2024"/>
    </row>
    <row r="598" spans="1:8" ht="15.75" customHeight="1" x14ac:dyDescent="0.25">
      <c r="A598" s="2017" t="s">
        <v>1817</v>
      </c>
      <c r="B598" s="2017" t="s">
        <v>1592</v>
      </c>
      <c r="C598" s="2017" t="s">
        <v>1600</v>
      </c>
      <c r="D598" s="2017" t="s">
        <v>1833</v>
      </c>
      <c r="E598" s="2017" t="s">
        <v>1751</v>
      </c>
      <c r="F598" s="2017" t="s">
        <v>1646</v>
      </c>
      <c r="G598" s="2018">
        <v>47985397</v>
      </c>
      <c r="H598" s="2024"/>
    </row>
    <row r="599" spans="1:8" ht="15.75" customHeight="1" x14ac:dyDescent="0.25">
      <c r="A599" s="2017" t="s">
        <v>1817</v>
      </c>
      <c r="B599" s="2017" t="s">
        <v>1592</v>
      </c>
      <c r="C599" s="2017" t="s">
        <v>1600</v>
      </c>
      <c r="D599" s="2017" t="s">
        <v>1833</v>
      </c>
      <c r="E599" s="2017" t="s">
        <v>1751</v>
      </c>
      <c r="F599" s="2017" t="s">
        <v>1753</v>
      </c>
      <c r="G599" s="2018">
        <v>47985397</v>
      </c>
      <c r="H599" s="2024"/>
    </row>
    <row r="600" spans="1:8" ht="15.75" customHeight="1" x14ac:dyDescent="0.25">
      <c r="A600" s="2017" t="s">
        <v>1817</v>
      </c>
      <c r="B600" s="2017" t="s">
        <v>1592</v>
      </c>
      <c r="C600" s="2017" t="s">
        <v>1600</v>
      </c>
      <c r="D600" s="2017" t="s">
        <v>1834</v>
      </c>
      <c r="E600" s="2017" t="s">
        <v>1646</v>
      </c>
      <c r="F600" s="2017" t="s">
        <v>1646</v>
      </c>
      <c r="G600" s="2018">
        <v>22282298518</v>
      </c>
      <c r="H600" s="2024"/>
    </row>
    <row r="601" spans="1:8" ht="15.75" customHeight="1" x14ac:dyDescent="0.25">
      <c r="A601" s="2017" t="s">
        <v>1817</v>
      </c>
      <c r="B601" s="2017" t="s">
        <v>1592</v>
      </c>
      <c r="C601" s="2017" t="s">
        <v>1600</v>
      </c>
      <c r="D601" s="2017" t="s">
        <v>1834</v>
      </c>
      <c r="E601" s="2017" t="s">
        <v>1751</v>
      </c>
      <c r="F601" s="2017" t="s">
        <v>1646</v>
      </c>
      <c r="G601" s="2018">
        <v>12306340819</v>
      </c>
      <c r="H601" s="2024"/>
    </row>
    <row r="602" spans="1:8" ht="15.75" customHeight="1" x14ac:dyDescent="0.25">
      <c r="A602" s="2017" t="s">
        <v>1817</v>
      </c>
      <c r="B602" s="2017" t="s">
        <v>1592</v>
      </c>
      <c r="C602" s="2017" t="s">
        <v>1600</v>
      </c>
      <c r="D602" s="2017" t="s">
        <v>1834</v>
      </c>
      <c r="E602" s="2017" t="s">
        <v>1751</v>
      </c>
      <c r="F602" s="2017" t="s">
        <v>1752</v>
      </c>
      <c r="G602" s="2018">
        <v>3481220729</v>
      </c>
      <c r="H602" s="2024"/>
    </row>
    <row r="603" spans="1:8" ht="15.75" customHeight="1" x14ac:dyDescent="0.25">
      <c r="A603" s="2017" t="s">
        <v>1817</v>
      </c>
      <c r="B603" s="2017" t="s">
        <v>1592</v>
      </c>
      <c r="C603" s="2017" t="s">
        <v>1600</v>
      </c>
      <c r="D603" s="2017" t="s">
        <v>1834</v>
      </c>
      <c r="E603" s="2017" t="s">
        <v>1751</v>
      </c>
      <c r="F603" s="2017" t="s">
        <v>1818</v>
      </c>
      <c r="G603" s="2018">
        <v>7462650</v>
      </c>
      <c r="H603" s="2024"/>
    </row>
    <row r="604" spans="1:8" ht="15.75" customHeight="1" x14ac:dyDescent="0.25">
      <c r="A604" s="2017" t="s">
        <v>1817</v>
      </c>
      <c r="B604" s="2017" t="s">
        <v>1592</v>
      </c>
      <c r="C604" s="2017" t="s">
        <v>1600</v>
      </c>
      <c r="D604" s="2017" t="s">
        <v>1834</v>
      </c>
      <c r="E604" s="2017" t="s">
        <v>1751</v>
      </c>
      <c r="F604" s="2017" t="s">
        <v>1753</v>
      </c>
      <c r="G604" s="2018">
        <v>105994000</v>
      </c>
      <c r="H604" s="2024"/>
    </row>
    <row r="605" spans="1:8" ht="15.75" customHeight="1" x14ac:dyDescent="0.25">
      <c r="A605" s="2017" t="s">
        <v>1817</v>
      </c>
      <c r="B605" s="2017" t="s">
        <v>1592</v>
      </c>
      <c r="C605" s="2017" t="s">
        <v>1600</v>
      </c>
      <c r="D605" s="2017" t="s">
        <v>1834</v>
      </c>
      <c r="E605" s="2017" t="s">
        <v>1751</v>
      </c>
      <c r="F605" s="2017" t="s">
        <v>1831</v>
      </c>
      <c r="G605" s="2018">
        <v>8711663440</v>
      </c>
      <c r="H605" s="2024"/>
    </row>
    <row r="606" spans="1:8" ht="15.75" customHeight="1" x14ac:dyDescent="0.25">
      <c r="A606" s="2017" t="s">
        <v>1817</v>
      </c>
      <c r="B606" s="2017" t="s">
        <v>1592</v>
      </c>
      <c r="C606" s="2017" t="s">
        <v>1600</v>
      </c>
      <c r="D606" s="2017" t="s">
        <v>1834</v>
      </c>
      <c r="E606" s="2017" t="s">
        <v>1652</v>
      </c>
      <c r="F606" s="2017" t="s">
        <v>1646</v>
      </c>
      <c r="G606" s="2018">
        <v>5407144</v>
      </c>
      <c r="H606" s="2024"/>
    </row>
    <row r="607" spans="1:8" ht="15.75" customHeight="1" x14ac:dyDescent="0.25">
      <c r="A607" s="2017" t="s">
        <v>1817</v>
      </c>
      <c r="B607" s="2017" t="s">
        <v>1592</v>
      </c>
      <c r="C607" s="2017" t="s">
        <v>1600</v>
      </c>
      <c r="D607" s="2017" t="s">
        <v>1834</v>
      </c>
      <c r="E607" s="2017" t="s">
        <v>1652</v>
      </c>
      <c r="F607" s="2017" t="s">
        <v>1755</v>
      </c>
      <c r="G607" s="2018">
        <v>5407144</v>
      </c>
      <c r="H607" s="2024"/>
    </row>
    <row r="608" spans="1:8" ht="15.75" customHeight="1" x14ac:dyDescent="0.25">
      <c r="A608" s="2017" t="s">
        <v>1817</v>
      </c>
      <c r="B608" s="2017" t="s">
        <v>1592</v>
      </c>
      <c r="C608" s="2017" t="s">
        <v>1600</v>
      </c>
      <c r="D608" s="2017" t="s">
        <v>1834</v>
      </c>
      <c r="E608" s="2017" t="s">
        <v>1602</v>
      </c>
      <c r="F608" s="2017" t="s">
        <v>1646</v>
      </c>
      <c r="G608" s="2018">
        <v>2725972707</v>
      </c>
      <c r="H608" s="2024"/>
    </row>
    <row r="609" spans="1:8" ht="15.75" customHeight="1" x14ac:dyDescent="0.25">
      <c r="A609" s="2017" t="s">
        <v>1817</v>
      </c>
      <c r="B609" s="2017" t="s">
        <v>1592</v>
      </c>
      <c r="C609" s="2017" t="s">
        <v>1600</v>
      </c>
      <c r="D609" s="2017" t="s">
        <v>1834</v>
      </c>
      <c r="E609" s="2017" t="s">
        <v>1602</v>
      </c>
      <c r="F609" s="2017" t="s">
        <v>1761</v>
      </c>
      <c r="G609" s="2018">
        <v>2725972707</v>
      </c>
      <c r="H609" s="2024"/>
    </row>
    <row r="610" spans="1:8" ht="15.75" customHeight="1" x14ac:dyDescent="0.25">
      <c r="A610" s="2017" t="s">
        <v>1817</v>
      </c>
      <c r="B610" s="2017" t="s">
        <v>1592</v>
      </c>
      <c r="C610" s="2017" t="s">
        <v>1600</v>
      </c>
      <c r="D610" s="2017" t="s">
        <v>1834</v>
      </c>
      <c r="E610" s="2017" t="s">
        <v>1618</v>
      </c>
      <c r="F610" s="2017" t="s">
        <v>1646</v>
      </c>
      <c r="G610" s="2018">
        <v>576548000</v>
      </c>
      <c r="H610" s="2024"/>
    </row>
    <row r="611" spans="1:8" ht="15.75" customHeight="1" x14ac:dyDescent="0.25">
      <c r="A611" s="2017" t="s">
        <v>1817</v>
      </c>
      <c r="B611" s="2017" t="s">
        <v>1592</v>
      </c>
      <c r="C611" s="2017" t="s">
        <v>1600</v>
      </c>
      <c r="D611" s="2017" t="s">
        <v>1834</v>
      </c>
      <c r="E611" s="2017" t="s">
        <v>1618</v>
      </c>
      <c r="F611" s="2017" t="s">
        <v>1622</v>
      </c>
      <c r="G611" s="2018">
        <v>576548000</v>
      </c>
      <c r="H611" s="2024"/>
    </row>
    <row r="612" spans="1:8" ht="15.75" customHeight="1" x14ac:dyDescent="0.25">
      <c r="A612" s="2017" t="s">
        <v>1817</v>
      </c>
      <c r="B612" s="2017" t="s">
        <v>1592</v>
      </c>
      <c r="C612" s="2017" t="s">
        <v>1600</v>
      </c>
      <c r="D612" s="2017" t="s">
        <v>1834</v>
      </c>
      <c r="E612" s="2017" t="s">
        <v>1615</v>
      </c>
      <c r="F612" s="2017" t="s">
        <v>1646</v>
      </c>
      <c r="G612" s="2018">
        <v>1015575000</v>
      </c>
      <c r="H612" s="2024"/>
    </row>
    <row r="613" spans="1:8" ht="15.75" customHeight="1" x14ac:dyDescent="0.25">
      <c r="A613" s="2017" t="s">
        <v>1817</v>
      </c>
      <c r="B613" s="2017" t="s">
        <v>1592</v>
      </c>
      <c r="C613" s="2017" t="s">
        <v>1600</v>
      </c>
      <c r="D613" s="2017" t="s">
        <v>1834</v>
      </c>
      <c r="E613" s="2017" t="s">
        <v>1615</v>
      </c>
      <c r="F613" s="2017" t="s">
        <v>1835</v>
      </c>
      <c r="G613" s="2018">
        <v>30575000</v>
      </c>
      <c r="H613" s="2024"/>
    </row>
    <row r="614" spans="1:8" ht="15.75" customHeight="1" x14ac:dyDescent="0.25">
      <c r="A614" s="2017" t="s">
        <v>1817</v>
      </c>
      <c r="B614" s="2017" t="s">
        <v>1592</v>
      </c>
      <c r="C614" s="2017" t="s">
        <v>1600</v>
      </c>
      <c r="D614" s="2017" t="s">
        <v>1834</v>
      </c>
      <c r="E614" s="2017" t="s">
        <v>1615</v>
      </c>
      <c r="F614" s="2017" t="s">
        <v>1616</v>
      </c>
      <c r="G614" s="2018">
        <v>985000000</v>
      </c>
      <c r="H614" s="2024"/>
    </row>
    <row r="615" spans="1:8" ht="15.75" customHeight="1" x14ac:dyDescent="0.25">
      <c r="A615" s="2017" t="s">
        <v>1817</v>
      </c>
      <c r="B615" s="2017" t="s">
        <v>1592</v>
      </c>
      <c r="C615" s="2017" t="s">
        <v>1600</v>
      </c>
      <c r="D615" s="2017" t="s">
        <v>1834</v>
      </c>
      <c r="E615" s="2017" t="s">
        <v>1836</v>
      </c>
      <c r="F615" s="2017" t="s">
        <v>1646</v>
      </c>
      <c r="G615" s="2018">
        <v>208126678</v>
      </c>
      <c r="H615" s="2024"/>
    </row>
    <row r="616" spans="1:8" ht="15.75" customHeight="1" x14ac:dyDescent="0.25">
      <c r="A616" s="2017" t="s">
        <v>1817</v>
      </c>
      <c r="B616" s="2017" t="s">
        <v>1592</v>
      </c>
      <c r="C616" s="2017" t="s">
        <v>1600</v>
      </c>
      <c r="D616" s="2017" t="s">
        <v>1834</v>
      </c>
      <c r="E616" s="2017" t="s">
        <v>1836</v>
      </c>
      <c r="F616" s="2017" t="s">
        <v>1837</v>
      </c>
      <c r="G616" s="2018">
        <v>208126678</v>
      </c>
      <c r="H616" s="2024"/>
    </row>
    <row r="617" spans="1:8" ht="15.75" customHeight="1" x14ac:dyDescent="0.25">
      <c r="A617" s="2017" t="s">
        <v>1817</v>
      </c>
      <c r="B617" s="2017" t="s">
        <v>1592</v>
      </c>
      <c r="C617" s="2017" t="s">
        <v>1600</v>
      </c>
      <c r="D617" s="2017" t="s">
        <v>1834</v>
      </c>
      <c r="E617" s="2017" t="s">
        <v>1595</v>
      </c>
      <c r="F617" s="2017" t="s">
        <v>1646</v>
      </c>
      <c r="G617" s="2018">
        <v>4786878202</v>
      </c>
      <c r="H617" s="2024"/>
    </row>
    <row r="618" spans="1:8" ht="15.75" customHeight="1" x14ac:dyDescent="0.25">
      <c r="A618" s="2017" t="s">
        <v>1817</v>
      </c>
      <c r="B618" s="2017" t="s">
        <v>1592</v>
      </c>
      <c r="C618" s="2017" t="s">
        <v>1600</v>
      </c>
      <c r="D618" s="2017" t="s">
        <v>1834</v>
      </c>
      <c r="E618" s="2017" t="s">
        <v>1595</v>
      </c>
      <c r="F618" s="2017" t="s">
        <v>1596</v>
      </c>
      <c r="G618" s="2018">
        <v>4786878202</v>
      </c>
      <c r="H618" s="2024"/>
    </row>
    <row r="619" spans="1:8" ht="15.75" customHeight="1" x14ac:dyDescent="0.25">
      <c r="A619" s="2017" t="s">
        <v>1817</v>
      </c>
      <c r="B619" s="2017" t="s">
        <v>1592</v>
      </c>
      <c r="C619" s="2017" t="s">
        <v>1600</v>
      </c>
      <c r="D619" s="2017" t="s">
        <v>1834</v>
      </c>
      <c r="E619" s="2017" t="s">
        <v>1597</v>
      </c>
      <c r="F619" s="2017" t="s">
        <v>1646</v>
      </c>
      <c r="G619" s="2018">
        <v>657449968</v>
      </c>
      <c r="H619" s="2024"/>
    </row>
    <row r="620" spans="1:8" ht="15.75" customHeight="1" x14ac:dyDescent="0.25">
      <c r="A620" s="2017" t="s">
        <v>1817</v>
      </c>
      <c r="B620" s="2017" t="s">
        <v>1592</v>
      </c>
      <c r="C620" s="2017" t="s">
        <v>1600</v>
      </c>
      <c r="D620" s="2017" t="s">
        <v>1834</v>
      </c>
      <c r="E620" s="2017" t="s">
        <v>1597</v>
      </c>
      <c r="F620" s="2017" t="s">
        <v>1598</v>
      </c>
      <c r="G620" s="2018">
        <v>155630326</v>
      </c>
      <c r="H620" s="2024"/>
    </row>
    <row r="621" spans="1:8" ht="15.75" customHeight="1" x14ac:dyDescent="0.25">
      <c r="A621" s="2017" t="s">
        <v>1817</v>
      </c>
      <c r="B621" s="2017" t="s">
        <v>1592</v>
      </c>
      <c r="C621" s="2017" t="s">
        <v>1600</v>
      </c>
      <c r="D621" s="2017" t="s">
        <v>1834</v>
      </c>
      <c r="E621" s="2017" t="s">
        <v>1597</v>
      </c>
      <c r="F621" s="2017" t="s">
        <v>1599</v>
      </c>
      <c r="G621" s="2018">
        <v>386422945</v>
      </c>
      <c r="H621" s="2024"/>
    </row>
    <row r="622" spans="1:8" ht="15.75" customHeight="1" x14ac:dyDescent="0.25">
      <c r="A622" s="2017" t="s">
        <v>1817</v>
      </c>
      <c r="B622" s="2017" t="s">
        <v>1592</v>
      </c>
      <c r="C622" s="2017" t="s">
        <v>1600</v>
      </c>
      <c r="D622" s="2017" t="s">
        <v>1834</v>
      </c>
      <c r="E622" s="2017" t="s">
        <v>1597</v>
      </c>
      <c r="F622" s="2017" t="s">
        <v>1605</v>
      </c>
      <c r="G622" s="2018">
        <v>115396697</v>
      </c>
      <c r="H622" s="2024"/>
    </row>
    <row r="623" spans="1:8" ht="15.75" customHeight="1" x14ac:dyDescent="0.25">
      <c r="A623" s="2017" t="s">
        <v>1817</v>
      </c>
      <c r="B623" s="2017" t="s">
        <v>1592</v>
      </c>
      <c r="C623" s="2017" t="s">
        <v>1600</v>
      </c>
      <c r="D623" s="2017" t="s">
        <v>1838</v>
      </c>
      <c r="E623" s="2017" t="s">
        <v>1646</v>
      </c>
      <c r="F623" s="2017" t="s">
        <v>1646</v>
      </c>
      <c r="G623" s="2018">
        <v>203054698</v>
      </c>
      <c r="H623" s="2024"/>
    </row>
    <row r="624" spans="1:8" ht="15.75" customHeight="1" x14ac:dyDescent="0.25">
      <c r="A624" s="2017" t="s">
        <v>1817</v>
      </c>
      <c r="B624" s="2017" t="s">
        <v>1592</v>
      </c>
      <c r="C624" s="2017" t="s">
        <v>1600</v>
      </c>
      <c r="D624" s="2017" t="s">
        <v>1838</v>
      </c>
      <c r="E624" s="2017" t="s">
        <v>1602</v>
      </c>
      <c r="F624" s="2017" t="s">
        <v>1646</v>
      </c>
      <c r="G624" s="2018">
        <v>203054698</v>
      </c>
      <c r="H624" s="2024"/>
    </row>
    <row r="625" spans="1:8" ht="15.75" customHeight="1" x14ac:dyDescent="0.25">
      <c r="A625" s="2017" t="s">
        <v>1817</v>
      </c>
      <c r="B625" s="2017" t="s">
        <v>1592</v>
      </c>
      <c r="C625" s="2017" t="s">
        <v>1600</v>
      </c>
      <c r="D625" s="2017" t="s">
        <v>1838</v>
      </c>
      <c r="E625" s="2017" t="s">
        <v>1602</v>
      </c>
      <c r="F625" s="2017" t="s">
        <v>1760</v>
      </c>
      <c r="G625" s="2018">
        <v>203054698</v>
      </c>
      <c r="H625" s="2024"/>
    </row>
    <row r="626" spans="1:8" ht="15.75" customHeight="1" x14ac:dyDescent="0.25">
      <c r="A626" s="2017" t="s">
        <v>1817</v>
      </c>
      <c r="B626" s="2017" t="s">
        <v>1592</v>
      </c>
      <c r="C626" s="2017" t="s">
        <v>1600</v>
      </c>
      <c r="D626" s="2017" t="s">
        <v>1626</v>
      </c>
      <c r="E626" s="2017" t="s">
        <v>1646</v>
      </c>
      <c r="F626" s="2017" t="s">
        <v>1646</v>
      </c>
      <c r="G626" s="2018">
        <v>4656847682</v>
      </c>
      <c r="H626" s="2024"/>
    </row>
    <row r="627" spans="1:8" ht="15.75" customHeight="1" x14ac:dyDescent="0.25">
      <c r="A627" s="2017" t="s">
        <v>1817</v>
      </c>
      <c r="B627" s="2017" t="s">
        <v>1592</v>
      </c>
      <c r="C627" s="2017" t="s">
        <v>1600</v>
      </c>
      <c r="D627" s="2017" t="s">
        <v>1626</v>
      </c>
      <c r="E627" s="2017" t="s">
        <v>1618</v>
      </c>
      <c r="F627" s="2017" t="s">
        <v>1646</v>
      </c>
      <c r="G627" s="2018">
        <v>362226582</v>
      </c>
      <c r="H627" s="2024"/>
    </row>
    <row r="628" spans="1:8" ht="15.75" customHeight="1" x14ac:dyDescent="0.25">
      <c r="A628" s="2017" t="s">
        <v>1817</v>
      </c>
      <c r="B628" s="2017" t="s">
        <v>1592</v>
      </c>
      <c r="C628" s="2017" t="s">
        <v>1600</v>
      </c>
      <c r="D628" s="2017" t="s">
        <v>1626</v>
      </c>
      <c r="E628" s="2017" t="s">
        <v>1618</v>
      </c>
      <c r="F628" s="2017" t="s">
        <v>1622</v>
      </c>
      <c r="G628" s="2018">
        <v>362226582</v>
      </c>
      <c r="H628" s="2024"/>
    </row>
    <row r="629" spans="1:8" ht="15.75" customHeight="1" x14ac:dyDescent="0.25">
      <c r="A629" s="2017" t="s">
        <v>1817</v>
      </c>
      <c r="B629" s="2017" t="s">
        <v>1592</v>
      </c>
      <c r="C629" s="2017" t="s">
        <v>1600</v>
      </c>
      <c r="D629" s="2017" t="s">
        <v>1626</v>
      </c>
      <c r="E629" s="2017" t="s">
        <v>1627</v>
      </c>
      <c r="F629" s="2017" t="s">
        <v>1646</v>
      </c>
      <c r="G629" s="2018">
        <v>98921000</v>
      </c>
      <c r="H629" s="2024"/>
    </row>
    <row r="630" spans="1:8" ht="15.75" customHeight="1" x14ac:dyDescent="0.25">
      <c r="A630" s="2017" t="s">
        <v>1817</v>
      </c>
      <c r="B630" s="2017" t="s">
        <v>1592</v>
      </c>
      <c r="C630" s="2017" t="s">
        <v>1600</v>
      </c>
      <c r="D630" s="2017" t="s">
        <v>1626</v>
      </c>
      <c r="E630" s="2017" t="s">
        <v>1627</v>
      </c>
      <c r="F630" s="2017" t="s">
        <v>1628</v>
      </c>
      <c r="G630" s="2018">
        <v>98921000</v>
      </c>
      <c r="H630" s="2024"/>
    </row>
    <row r="631" spans="1:8" ht="15.75" customHeight="1" x14ac:dyDescent="0.25">
      <c r="A631" s="2017" t="s">
        <v>1817</v>
      </c>
      <c r="B631" s="2017" t="s">
        <v>1592</v>
      </c>
      <c r="C631" s="2017" t="s">
        <v>1600</v>
      </c>
      <c r="D631" s="2017" t="s">
        <v>1626</v>
      </c>
      <c r="E631" s="2017" t="s">
        <v>1597</v>
      </c>
      <c r="F631" s="2017" t="s">
        <v>1646</v>
      </c>
      <c r="G631" s="2018">
        <v>4195700100</v>
      </c>
      <c r="H631" s="2024"/>
    </row>
    <row r="632" spans="1:8" ht="15.75" customHeight="1" x14ac:dyDescent="0.25">
      <c r="A632" s="2017" t="s">
        <v>1817</v>
      </c>
      <c r="B632" s="2017" t="s">
        <v>1592</v>
      </c>
      <c r="C632" s="2017" t="s">
        <v>1600</v>
      </c>
      <c r="D632" s="2017" t="s">
        <v>1626</v>
      </c>
      <c r="E632" s="2017" t="s">
        <v>1597</v>
      </c>
      <c r="F632" s="2017" t="s">
        <v>1599</v>
      </c>
      <c r="G632" s="2018">
        <v>4158966600</v>
      </c>
      <c r="H632" s="2024"/>
    </row>
    <row r="633" spans="1:8" ht="15.75" customHeight="1" x14ac:dyDescent="0.25">
      <c r="A633" s="2017" t="s">
        <v>1817</v>
      </c>
      <c r="B633" s="2017" t="s">
        <v>1592</v>
      </c>
      <c r="C633" s="2017" t="s">
        <v>1600</v>
      </c>
      <c r="D633" s="2017" t="s">
        <v>1626</v>
      </c>
      <c r="E633" s="2017" t="s">
        <v>1597</v>
      </c>
      <c r="F633" s="2017" t="s">
        <v>1605</v>
      </c>
      <c r="G633" s="2018">
        <v>36733500</v>
      </c>
      <c r="H633" s="2024"/>
    </row>
    <row r="634" spans="1:8" ht="15.75" customHeight="1" x14ac:dyDescent="0.25">
      <c r="A634" s="2017" t="s">
        <v>1817</v>
      </c>
      <c r="B634" s="2017" t="s">
        <v>1592</v>
      </c>
      <c r="C634" s="2017" t="s">
        <v>1600</v>
      </c>
      <c r="D634" s="2017" t="s">
        <v>1617</v>
      </c>
      <c r="E634" s="2017" t="s">
        <v>1646</v>
      </c>
      <c r="F634" s="2017" t="s">
        <v>1646</v>
      </c>
      <c r="G634" s="2018">
        <v>15684628425</v>
      </c>
      <c r="H634" s="2024"/>
    </row>
    <row r="635" spans="1:8" ht="15.75" customHeight="1" x14ac:dyDescent="0.25">
      <c r="A635" s="2017" t="s">
        <v>1817</v>
      </c>
      <c r="B635" s="2017" t="s">
        <v>1592</v>
      </c>
      <c r="C635" s="2017" t="s">
        <v>1600</v>
      </c>
      <c r="D635" s="2017" t="s">
        <v>1617</v>
      </c>
      <c r="E635" s="2017" t="s">
        <v>1730</v>
      </c>
      <c r="F635" s="2017" t="s">
        <v>1646</v>
      </c>
      <c r="G635" s="2018">
        <v>345805200</v>
      </c>
      <c r="H635" s="2024"/>
    </row>
    <row r="636" spans="1:8" ht="15.75" customHeight="1" x14ac:dyDescent="0.25">
      <c r="A636" s="2017" t="s">
        <v>1817</v>
      </c>
      <c r="B636" s="2017" t="s">
        <v>1592</v>
      </c>
      <c r="C636" s="2017" t="s">
        <v>1600</v>
      </c>
      <c r="D636" s="2017" t="s">
        <v>1617</v>
      </c>
      <c r="E636" s="2017" t="s">
        <v>1730</v>
      </c>
      <c r="F636" s="2017" t="s">
        <v>1731</v>
      </c>
      <c r="G636" s="2018">
        <v>345805200</v>
      </c>
      <c r="H636" s="2024"/>
    </row>
    <row r="637" spans="1:8" ht="15.75" customHeight="1" x14ac:dyDescent="0.25">
      <c r="A637" s="2017" t="s">
        <v>1817</v>
      </c>
      <c r="B637" s="2017" t="s">
        <v>1592</v>
      </c>
      <c r="C637" s="2017" t="s">
        <v>1600</v>
      </c>
      <c r="D637" s="2017" t="s">
        <v>1617</v>
      </c>
      <c r="E637" s="2017" t="s">
        <v>1607</v>
      </c>
      <c r="F637" s="2017" t="s">
        <v>1646</v>
      </c>
      <c r="G637" s="2018">
        <v>34398000</v>
      </c>
      <c r="H637" s="2024"/>
    </row>
    <row r="638" spans="1:8" ht="15.75" customHeight="1" x14ac:dyDescent="0.25">
      <c r="A638" s="2017" t="s">
        <v>1817</v>
      </c>
      <c r="B638" s="2017" t="s">
        <v>1592</v>
      </c>
      <c r="C638" s="2017" t="s">
        <v>1600</v>
      </c>
      <c r="D638" s="2017" t="s">
        <v>1617</v>
      </c>
      <c r="E638" s="2017" t="s">
        <v>1607</v>
      </c>
      <c r="F638" s="2017" t="s">
        <v>1734</v>
      </c>
      <c r="G638" s="2018">
        <v>3510000</v>
      </c>
      <c r="H638" s="2024"/>
    </row>
    <row r="639" spans="1:8" ht="15.75" customHeight="1" x14ac:dyDescent="0.25">
      <c r="A639" s="2017" t="s">
        <v>1817</v>
      </c>
      <c r="B639" s="2017" t="s">
        <v>1592</v>
      </c>
      <c r="C639" s="2017" t="s">
        <v>1600</v>
      </c>
      <c r="D639" s="2017" t="s">
        <v>1617</v>
      </c>
      <c r="E639" s="2017" t="s">
        <v>1607</v>
      </c>
      <c r="F639" s="2017" t="s">
        <v>1735</v>
      </c>
      <c r="G639" s="2018">
        <v>29484000</v>
      </c>
      <c r="H639" s="2024"/>
    </row>
    <row r="640" spans="1:8" ht="15.75" customHeight="1" x14ac:dyDescent="0.25">
      <c r="A640" s="2017" t="s">
        <v>1817</v>
      </c>
      <c r="B640" s="2017" t="s">
        <v>1592</v>
      </c>
      <c r="C640" s="2017" t="s">
        <v>1600</v>
      </c>
      <c r="D640" s="2017" t="s">
        <v>1617</v>
      </c>
      <c r="E640" s="2017" t="s">
        <v>1607</v>
      </c>
      <c r="F640" s="2017" t="s">
        <v>1737</v>
      </c>
      <c r="G640" s="2018">
        <v>1404000</v>
      </c>
      <c r="H640" s="2024"/>
    </row>
    <row r="641" spans="1:8" ht="15.75" customHeight="1" x14ac:dyDescent="0.25">
      <c r="A641" s="2017" t="s">
        <v>1817</v>
      </c>
      <c r="B641" s="2017" t="s">
        <v>1592</v>
      </c>
      <c r="C641" s="2017" t="s">
        <v>1600</v>
      </c>
      <c r="D641" s="2017" t="s">
        <v>1617</v>
      </c>
      <c r="E641" s="2017" t="s">
        <v>1784</v>
      </c>
      <c r="F641" s="2017" t="s">
        <v>1646</v>
      </c>
      <c r="G641" s="2018">
        <v>31500000</v>
      </c>
      <c r="H641" s="2024"/>
    </row>
    <row r="642" spans="1:8" ht="15.75" customHeight="1" x14ac:dyDescent="0.25">
      <c r="A642" s="2017" t="s">
        <v>1817</v>
      </c>
      <c r="B642" s="2017" t="s">
        <v>1592</v>
      </c>
      <c r="C642" s="2017" t="s">
        <v>1600</v>
      </c>
      <c r="D642" s="2017" t="s">
        <v>1617</v>
      </c>
      <c r="E642" s="2017" t="s">
        <v>1784</v>
      </c>
      <c r="F642" s="2017" t="s">
        <v>1785</v>
      </c>
      <c r="G642" s="2018">
        <v>31500000</v>
      </c>
      <c r="H642" s="2024"/>
    </row>
    <row r="643" spans="1:8" ht="15.75" customHeight="1" x14ac:dyDescent="0.25">
      <c r="A643" s="2017" t="s">
        <v>1817</v>
      </c>
      <c r="B643" s="2017" t="s">
        <v>1592</v>
      </c>
      <c r="C643" s="2017" t="s">
        <v>1600</v>
      </c>
      <c r="D643" s="2017" t="s">
        <v>1617</v>
      </c>
      <c r="E643" s="2017" t="s">
        <v>1743</v>
      </c>
      <c r="F643" s="2017" t="s">
        <v>1646</v>
      </c>
      <c r="G643" s="2018">
        <v>97441974</v>
      </c>
      <c r="H643" s="2024"/>
    </row>
    <row r="644" spans="1:8" ht="15.75" customHeight="1" x14ac:dyDescent="0.25">
      <c r="A644" s="2017" t="s">
        <v>1817</v>
      </c>
      <c r="B644" s="2017" t="s">
        <v>1592</v>
      </c>
      <c r="C644" s="2017" t="s">
        <v>1600</v>
      </c>
      <c r="D644" s="2017" t="s">
        <v>1617</v>
      </c>
      <c r="E644" s="2017" t="s">
        <v>1743</v>
      </c>
      <c r="F644" s="2017" t="s">
        <v>1744</v>
      </c>
      <c r="G644" s="2018">
        <v>73489934</v>
      </c>
      <c r="H644" s="2024"/>
    </row>
    <row r="645" spans="1:8" ht="15.75" customHeight="1" x14ac:dyDescent="0.25">
      <c r="A645" s="2017" t="s">
        <v>1817</v>
      </c>
      <c r="B645" s="2017" t="s">
        <v>1592</v>
      </c>
      <c r="C645" s="2017" t="s">
        <v>1600</v>
      </c>
      <c r="D645" s="2017" t="s">
        <v>1617</v>
      </c>
      <c r="E645" s="2017" t="s">
        <v>1743</v>
      </c>
      <c r="F645" s="2017" t="s">
        <v>1745</v>
      </c>
      <c r="G645" s="2018">
        <v>12688668</v>
      </c>
      <c r="H645" s="2024"/>
    </row>
    <row r="646" spans="1:8" ht="15.75" customHeight="1" x14ac:dyDescent="0.25">
      <c r="A646" s="2017" t="s">
        <v>1817</v>
      </c>
      <c r="B646" s="2017" t="s">
        <v>1592</v>
      </c>
      <c r="C646" s="2017" t="s">
        <v>1600</v>
      </c>
      <c r="D646" s="2017" t="s">
        <v>1617</v>
      </c>
      <c r="E646" s="2017" t="s">
        <v>1743</v>
      </c>
      <c r="F646" s="2017" t="s">
        <v>1746</v>
      </c>
      <c r="G646" s="2018">
        <v>7033816</v>
      </c>
      <c r="H646" s="2024"/>
    </row>
    <row r="647" spans="1:8" ht="15.75" customHeight="1" x14ac:dyDescent="0.25">
      <c r="A647" s="2017" t="s">
        <v>1817</v>
      </c>
      <c r="B647" s="2017" t="s">
        <v>1592</v>
      </c>
      <c r="C647" s="2017" t="s">
        <v>1600</v>
      </c>
      <c r="D647" s="2017" t="s">
        <v>1617</v>
      </c>
      <c r="E647" s="2017" t="s">
        <v>1743</v>
      </c>
      <c r="F647" s="2017" t="s">
        <v>1747</v>
      </c>
      <c r="G647" s="2018">
        <v>4229556</v>
      </c>
      <c r="H647" s="2024"/>
    </row>
    <row r="648" spans="1:8" ht="15.75" customHeight="1" x14ac:dyDescent="0.25">
      <c r="A648" s="2017" t="s">
        <v>1817</v>
      </c>
      <c r="B648" s="2017" t="s">
        <v>1592</v>
      </c>
      <c r="C648" s="2017" t="s">
        <v>1600</v>
      </c>
      <c r="D648" s="2017" t="s">
        <v>1617</v>
      </c>
      <c r="E648" s="2017" t="s">
        <v>1748</v>
      </c>
      <c r="F648" s="2017" t="s">
        <v>1646</v>
      </c>
      <c r="G648" s="2018">
        <v>43085245</v>
      </c>
      <c r="H648" s="2024"/>
    </row>
    <row r="649" spans="1:8" ht="15.75" customHeight="1" x14ac:dyDescent="0.25">
      <c r="A649" s="2017" t="s">
        <v>1817</v>
      </c>
      <c r="B649" s="2017" t="s">
        <v>1592</v>
      </c>
      <c r="C649" s="2017" t="s">
        <v>1600</v>
      </c>
      <c r="D649" s="2017" t="s">
        <v>1617</v>
      </c>
      <c r="E649" s="2017" t="s">
        <v>1748</v>
      </c>
      <c r="F649" s="2017" t="s">
        <v>1767</v>
      </c>
      <c r="G649" s="2018">
        <v>43085245</v>
      </c>
      <c r="H649" s="2024"/>
    </row>
    <row r="650" spans="1:8" ht="15.75" customHeight="1" x14ac:dyDescent="0.25">
      <c r="A650" s="2017" t="s">
        <v>1817</v>
      </c>
      <c r="B650" s="2017" t="s">
        <v>1592</v>
      </c>
      <c r="C650" s="2017" t="s">
        <v>1600</v>
      </c>
      <c r="D650" s="2017" t="s">
        <v>1617</v>
      </c>
      <c r="E650" s="2017" t="s">
        <v>1751</v>
      </c>
      <c r="F650" s="2017" t="s">
        <v>1646</v>
      </c>
      <c r="G650" s="2018">
        <v>9442843</v>
      </c>
      <c r="H650" s="2024"/>
    </row>
    <row r="651" spans="1:8" ht="15.75" customHeight="1" x14ac:dyDescent="0.25">
      <c r="A651" s="2017" t="s">
        <v>1817</v>
      </c>
      <c r="B651" s="2017" t="s">
        <v>1592</v>
      </c>
      <c r="C651" s="2017" t="s">
        <v>1600</v>
      </c>
      <c r="D651" s="2017" t="s">
        <v>1617</v>
      </c>
      <c r="E651" s="2017" t="s">
        <v>1751</v>
      </c>
      <c r="F651" s="2017" t="s">
        <v>1752</v>
      </c>
      <c r="G651" s="2018">
        <v>1842446</v>
      </c>
      <c r="H651" s="2024"/>
    </row>
    <row r="652" spans="1:8" ht="15.75" customHeight="1" x14ac:dyDescent="0.25">
      <c r="A652" s="2017" t="s">
        <v>1817</v>
      </c>
      <c r="B652" s="2017" t="s">
        <v>1592</v>
      </c>
      <c r="C652" s="2017" t="s">
        <v>1600</v>
      </c>
      <c r="D652" s="2017" t="s">
        <v>1617</v>
      </c>
      <c r="E652" s="2017" t="s">
        <v>1751</v>
      </c>
      <c r="F652" s="2017" t="s">
        <v>1787</v>
      </c>
      <c r="G652" s="2018">
        <v>7600397</v>
      </c>
      <c r="H652" s="2024"/>
    </row>
    <row r="653" spans="1:8" ht="15.75" customHeight="1" x14ac:dyDescent="0.25">
      <c r="A653" s="2017" t="s">
        <v>1817</v>
      </c>
      <c r="B653" s="2017" t="s">
        <v>1592</v>
      </c>
      <c r="C653" s="2017" t="s">
        <v>1600</v>
      </c>
      <c r="D653" s="2017" t="s">
        <v>1617</v>
      </c>
      <c r="E653" s="2017" t="s">
        <v>1623</v>
      </c>
      <c r="F653" s="2017" t="s">
        <v>1646</v>
      </c>
      <c r="G653" s="2018">
        <v>14026000</v>
      </c>
      <c r="H653" s="2024"/>
    </row>
    <row r="654" spans="1:8" ht="15.75" customHeight="1" x14ac:dyDescent="0.25">
      <c r="A654" s="2017" t="s">
        <v>1817</v>
      </c>
      <c r="B654" s="2017" t="s">
        <v>1592</v>
      </c>
      <c r="C654" s="2017" t="s">
        <v>1600</v>
      </c>
      <c r="D654" s="2017" t="s">
        <v>1617</v>
      </c>
      <c r="E654" s="2017" t="s">
        <v>1623</v>
      </c>
      <c r="F654" s="2017" t="s">
        <v>1624</v>
      </c>
      <c r="G654" s="2018">
        <v>9536000</v>
      </c>
      <c r="H654" s="2024"/>
    </row>
    <row r="655" spans="1:8" ht="15.75" customHeight="1" x14ac:dyDescent="0.25">
      <c r="A655" s="2017" t="s">
        <v>1817</v>
      </c>
      <c r="B655" s="2017" t="s">
        <v>1592</v>
      </c>
      <c r="C655" s="2017" t="s">
        <v>1600</v>
      </c>
      <c r="D655" s="2017" t="s">
        <v>1617</v>
      </c>
      <c r="E655" s="2017" t="s">
        <v>1623</v>
      </c>
      <c r="F655" s="2017" t="s">
        <v>1639</v>
      </c>
      <c r="G655" s="2018">
        <v>1700000</v>
      </c>
      <c r="H655" s="2024"/>
    </row>
    <row r="656" spans="1:8" ht="15.75" customHeight="1" x14ac:dyDescent="0.25">
      <c r="A656" s="2017" t="s">
        <v>1817</v>
      </c>
      <c r="B656" s="2017" t="s">
        <v>1592</v>
      </c>
      <c r="C656" s="2017" t="s">
        <v>1600</v>
      </c>
      <c r="D656" s="2017" t="s">
        <v>1617</v>
      </c>
      <c r="E656" s="2017" t="s">
        <v>1623</v>
      </c>
      <c r="F656" s="2017" t="s">
        <v>1634</v>
      </c>
      <c r="G656" s="2018">
        <v>2790000</v>
      </c>
      <c r="H656" s="2024"/>
    </row>
    <row r="657" spans="1:8" ht="15.75" customHeight="1" x14ac:dyDescent="0.25">
      <c r="A657" s="2017" t="s">
        <v>1817</v>
      </c>
      <c r="B657" s="2017" t="s">
        <v>1592</v>
      </c>
      <c r="C657" s="2017" t="s">
        <v>1600</v>
      </c>
      <c r="D657" s="2017" t="s">
        <v>1617</v>
      </c>
      <c r="E657" s="2017" t="s">
        <v>1652</v>
      </c>
      <c r="F657" s="2017" t="s">
        <v>1646</v>
      </c>
      <c r="G657" s="2018">
        <v>20671000</v>
      </c>
      <c r="H657" s="2024"/>
    </row>
    <row r="658" spans="1:8" ht="15.75" customHeight="1" x14ac:dyDescent="0.25">
      <c r="A658" s="2017" t="s">
        <v>1817</v>
      </c>
      <c r="B658" s="2017" t="s">
        <v>1592</v>
      </c>
      <c r="C658" s="2017" t="s">
        <v>1600</v>
      </c>
      <c r="D658" s="2017" t="s">
        <v>1617</v>
      </c>
      <c r="E658" s="2017" t="s">
        <v>1652</v>
      </c>
      <c r="F658" s="2017" t="s">
        <v>1755</v>
      </c>
      <c r="G658" s="2018">
        <v>990000</v>
      </c>
      <c r="H658" s="2024"/>
    </row>
    <row r="659" spans="1:8" ht="15.75" customHeight="1" x14ac:dyDescent="0.25">
      <c r="A659" s="2017" t="s">
        <v>1817</v>
      </c>
      <c r="B659" s="2017" t="s">
        <v>1592</v>
      </c>
      <c r="C659" s="2017" t="s">
        <v>1600</v>
      </c>
      <c r="D659" s="2017" t="s">
        <v>1617</v>
      </c>
      <c r="E659" s="2017" t="s">
        <v>1652</v>
      </c>
      <c r="F659" s="2017" t="s">
        <v>1653</v>
      </c>
      <c r="G659" s="2018">
        <v>19681000</v>
      </c>
      <c r="H659" s="2024"/>
    </row>
    <row r="660" spans="1:8" ht="15.75" customHeight="1" x14ac:dyDescent="0.25">
      <c r="A660" s="2017" t="s">
        <v>1817</v>
      </c>
      <c r="B660" s="2017" t="s">
        <v>1592</v>
      </c>
      <c r="C660" s="2017" t="s">
        <v>1600</v>
      </c>
      <c r="D660" s="2017" t="s">
        <v>1617</v>
      </c>
      <c r="E660" s="2017" t="s">
        <v>1609</v>
      </c>
      <c r="F660" s="2017" t="s">
        <v>1646</v>
      </c>
      <c r="G660" s="2018">
        <v>1600000</v>
      </c>
      <c r="H660" s="2024"/>
    </row>
    <row r="661" spans="1:8" ht="15.75" customHeight="1" x14ac:dyDescent="0.25">
      <c r="A661" s="2017" t="s">
        <v>1817</v>
      </c>
      <c r="B661" s="2017" t="s">
        <v>1592</v>
      </c>
      <c r="C661" s="2017" t="s">
        <v>1600</v>
      </c>
      <c r="D661" s="2017" t="s">
        <v>1617</v>
      </c>
      <c r="E661" s="2017" t="s">
        <v>1609</v>
      </c>
      <c r="F661" s="2017" t="s">
        <v>1611</v>
      </c>
      <c r="G661" s="2018">
        <v>1600000</v>
      </c>
      <c r="H661" s="2024"/>
    </row>
    <row r="662" spans="1:8" ht="15.75" customHeight="1" x14ac:dyDescent="0.25">
      <c r="A662" s="2017" t="s">
        <v>1817</v>
      </c>
      <c r="B662" s="2017" t="s">
        <v>1592</v>
      </c>
      <c r="C662" s="2017" t="s">
        <v>1600</v>
      </c>
      <c r="D662" s="2017" t="s">
        <v>1617</v>
      </c>
      <c r="E662" s="2017" t="s">
        <v>1660</v>
      </c>
      <c r="F662" s="2017" t="s">
        <v>1646</v>
      </c>
      <c r="G662" s="2018">
        <v>21000000</v>
      </c>
      <c r="H662" s="2024"/>
    </row>
    <row r="663" spans="1:8" ht="15.75" customHeight="1" x14ac:dyDescent="0.25">
      <c r="A663" s="2017" t="s">
        <v>1817</v>
      </c>
      <c r="B663" s="2017" t="s">
        <v>1592</v>
      </c>
      <c r="C663" s="2017" t="s">
        <v>1600</v>
      </c>
      <c r="D663" s="2017" t="s">
        <v>1617</v>
      </c>
      <c r="E663" s="2017" t="s">
        <v>1660</v>
      </c>
      <c r="F663" s="2017" t="s">
        <v>1768</v>
      </c>
      <c r="G663" s="2018">
        <v>21000000</v>
      </c>
      <c r="H663" s="2024"/>
    </row>
    <row r="664" spans="1:8" ht="15.75" customHeight="1" x14ac:dyDescent="0.25">
      <c r="A664" s="2017" t="s">
        <v>1817</v>
      </c>
      <c r="B664" s="2017" t="s">
        <v>1592</v>
      </c>
      <c r="C664" s="2017" t="s">
        <v>1600</v>
      </c>
      <c r="D664" s="2017" t="s">
        <v>1617</v>
      </c>
      <c r="E664" s="2017" t="s">
        <v>1654</v>
      </c>
      <c r="F664" s="2017" t="s">
        <v>1646</v>
      </c>
      <c r="G664" s="2018">
        <v>141272400</v>
      </c>
      <c r="H664" s="2024"/>
    </row>
    <row r="665" spans="1:8" ht="15.75" customHeight="1" x14ac:dyDescent="0.25">
      <c r="A665" s="2017" t="s">
        <v>1817</v>
      </c>
      <c r="B665" s="2017" t="s">
        <v>1592</v>
      </c>
      <c r="C665" s="2017" t="s">
        <v>1600</v>
      </c>
      <c r="D665" s="2017" t="s">
        <v>1617</v>
      </c>
      <c r="E665" s="2017" t="s">
        <v>1654</v>
      </c>
      <c r="F665" s="2017" t="s">
        <v>1757</v>
      </c>
      <c r="G665" s="2018">
        <v>77852400</v>
      </c>
      <c r="H665" s="2024"/>
    </row>
    <row r="666" spans="1:8" ht="15.75" customHeight="1" x14ac:dyDescent="0.25">
      <c r="A666" s="2017" t="s">
        <v>1817</v>
      </c>
      <c r="B666" s="2017" t="s">
        <v>1592</v>
      </c>
      <c r="C666" s="2017" t="s">
        <v>1600</v>
      </c>
      <c r="D666" s="2017" t="s">
        <v>1617</v>
      </c>
      <c r="E666" s="2017" t="s">
        <v>1654</v>
      </c>
      <c r="F666" s="2017" t="s">
        <v>1655</v>
      </c>
      <c r="G666" s="2018">
        <v>63420000</v>
      </c>
      <c r="H666" s="2024"/>
    </row>
    <row r="667" spans="1:8" ht="15.75" customHeight="1" x14ac:dyDescent="0.25">
      <c r="A667" s="2017" t="s">
        <v>1817</v>
      </c>
      <c r="B667" s="2017" t="s">
        <v>1592</v>
      </c>
      <c r="C667" s="2017" t="s">
        <v>1600</v>
      </c>
      <c r="D667" s="2017" t="s">
        <v>1617</v>
      </c>
      <c r="E667" s="2017" t="s">
        <v>1602</v>
      </c>
      <c r="F667" s="2017" t="s">
        <v>1646</v>
      </c>
      <c r="G667" s="2018">
        <v>8537866642</v>
      </c>
      <c r="H667" s="2024"/>
    </row>
    <row r="668" spans="1:8" ht="15.75" customHeight="1" x14ac:dyDescent="0.25">
      <c r="A668" s="2017" t="s">
        <v>1817</v>
      </c>
      <c r="B668" s="2017" t="s">
        <v>1592</v>
      </c>
      <c r="C668" s="2017" t="s">
        <v>1600</v>
      </c>
      <c r="D668" s="2017" t="s">
        <v>1617</v>
      </c>
      <c r="E668" s="2017" t="s">
        <v>1602</v>
      </c>
      <c r="F668" s="2017" t="s">
        <v>1790</v>
      </c>
      <c r="G668" s="2018">
        <v>6310000</v>
      </c>
      <c r="H668" s="2024"/>
    </row>
    <row r="669" spans="1:8" ht="15.75" customHeight="1" x14ac:dyDescent="0.25">
      <c r="A669" s="2017" t="s">
        <v>1817</v>
      </c>
      <c r="B669" s="2017" t="s">
        <v>1592</v>
      </c>
      <c r="C669" s="2017" t="s">
        <v>1600</v>
      </c>
      <c r="D669" s="2017" t="s">
        <v>1617</v>
      </c>
      <c r="E669" s="2017" t="s">
        <v>1602</v>
      </c>
      <c r="F669" s="2017" t="s">
        <v>1680</v>
      </c>
      <c r="G669" s="2018">
        <v>1000000</v>
      </c>
      <c r="H669" s="2024"/>
    </row>
    <row r="670" spans="1:8" ht="15.75" customHeight="1" x14ac:dyDescent="0.25">
      <c r="A670" s="2017" t="s">
        <v>1817</v>
      </c>
      <c r="B670" s="2017" t="s">
        <v>1592</v>
      </c>
      <c r="C670" s="2017" t="s">
        <v>1600</v>
      </c>
      <c r="D670" s="2017" t="s">
        <v>1617</v>
      </c>
      <c r="E670" s="2017" t="s">
        <v>1602</v>
      </c>
      <c r="F670" s="2017" t="s">
        <v>1760</v>
      </c>
      <c r="G670" s="2018">
        <v>388145000</v>
      </c>
      <c r="H670" s="2024"/>
    </row>
    <row r="671" spans="1:8" ht="15.75" customHeight="1" x14ac:dyDescent="0.25">
      <c r="A671" s="2017" t="s">
        <v>1817</v>
      </c>
      <c r="B671" s="2017" t="s">
        <v>1592</v>
      </c>
      <c r="C671" s="2017" t="s">
        <v>1600</v>
      </c>
      <c r="D671" s="2017" t="s">
        <v>1617</v>
      </c>
      <c r="E671" s="2017" t="s">
        <v>1602</v>
      </c>
      <c r="F671" s="2017" t="s">
        <v>1637</v>
      </c>
      <c r="G671" s="2018">
        <v>252680232</v>
      </c>
      <c r="H671" s="2024"/>
    </row>
    <row r="672" spans="1:8" ht="15.75" customHeight="1" x14ac:dyDescent="0.25">
      <c r="A672" s="2017" t="s">
        <v>1817</v>
      </c>
      <c r="B672" s="2017" t="s">
        <v>1592</v>
      </c>
      <c r="C672" s="2017" t="s">
        <v>1600</v>
      </c>
      <c r="D672" s="2017" t="s">
        <v>1617</v>
      </c>
      <c r="E672" s="2017" t="s">
        <v>1602</v>
      </c>
      <c r="F672" s="2017" t="s">
        <v>1761</v>
      </c>
      <c r="G672" s="2018">
        <v>7889731410</v>
      </c>
      <c r="H672" s="2024"/>
    </row>
    <row r="673" spans="1:8" ht="15.75" customHeight="1" x14ac:dyDescent="0.25">
      <c r="A673" s="2017" t="s">
        <v>1817</v>
      </c>
      <c r="B673" s="2017" t="s">
        <v>1592</v>
      </c>
      <c r="C673" s="2017" t="s">
        <v>1600</v>
      </c>
      <c r="D673" s="2017" t="s">
        <v>1617</v>
      </c>
      <c r="E673" s="2017" t="s">
        <v>1618</v>
      </c>
      <c r="F673" s="2017" t="s">
        <v>1646</v>
      </c>
      <c r="G673" s="2018">
        <v>525307714</v>
      </c>
      <c r="H673" s="2024"/>
    </row>
    <row r="674" spans="1:8" ht="15.75" customHeight="1" x14ac:dyDescent="0.25">
      <c r="A674" s="2017" t="s">
        <v>1817</v>
      </c>
      <c r="B674" s="2017" t="s">
        <v>1592</v>
      </c>
      <c r="C674" s="2017" t="s">
        <v>1600</v>
      </c>
      <c r="D674" s="2017" t="s">
        <v>1617</v>
      </c>
      <c r="E674" s="2017" t="s">
        <v>1618</v>
      </c>
      <c r="F674" s="2017" t="s">
        <v>1619</v>
      </c>
      <c r="G674" s="2018">
        <v>6706500</v>
      </c>
      <c r="H674" s="2024"/>
    </row>
    <row r="675" spans="1:8" ht="15.75" customHeight="1" x14ac:dyDescent="0.25">
      <c r="A675" s="2017" t="s">
        <v>1817</v>
      </c>
      <c r="B675" s="2017" t="s">
        <v>1592</v>
      </c>
      <c r="C675" s="2017" t="s">
        <v>1600</v>
      </c>
      <c r="D675" s="2017" t="s">
        <v>1617</v>
      </c>
      <c r="E675" s="2017" t="s">
        <v>1618</v>
      </c>
      <c r="F675" s="2017" t="s">
        <v>1716</v>
      </c>
      <c r="G675" s="2018">
        <v>133638000</v>
      </c>
      <c r="H675" s="2024"/>
    </row>
    <row r="676" spans="1:8" ht="15.75" customHeight="1" x14ac:dyDescent="0.25">
      <c r="A676" s="2017" t="s">
        <v>1817</v>
      </c>
      <c r="B676" s="2017" t="s">
        <v>1592</v>
      </c>
      <c r="C676" s="2017" t="s">
        <v>1600</v>
      </c>
      <c r="D676" s="2017" t="s">
        <v>1617</v>
      </c>
      <c r="E676" s="2017" t="s">
        <v>1618</v>
      </c>
      <c r="F676" s="2017" t="s">
        <v>1622</v>
      </c>
      <c r="G676" s="2018">
        <v>384963214</v>
      </c>
      <c r="H676" s="2024"/>
    </row>
    <row r="677" spans="1:8" ht="15.75" customHeight="1" x14ac:dyDescent="0.25">
      <c r="A677" s="2017" t="s">
        <v>1817</v>
      </c>
      <c r="B677" s="2017" t="s">
        <v>1592</v>
      </c>
      <c r="C677" s="2017" t="s">
        <v>1600</v>
      </c>
      <c r="D677" s="2017" t="s">
        <v>1617</v>
      </c>
      <c r="E677" s="2017" t="s">
        <v>1615</v>
      </c>
      <c r="F677" s="2017" t="s">
        <v>1646</v>
      </c>
      <c r="G677" s="2018">
        <v>533690007</v>
      </c>
      <c r="H677" s="2024"/>
    </row>
    <row r="678" spans="1:8" ht="15.75" customHeight="1" x14ac:dyDescent="0.25">
      <c r="A678" s="2017" t="s">
        <v>1817</v>
      </c>
      <c r="B678" s="2017" t="s">
        <v>1592</v>
      </c>
      <c r="C678" s="2017" t="s">
        <v>1600</v>
      </c>
      <c r="D678" s="2017" t="s">
        <v>1617</v>
      </c>
      <c r="E678" s="2017" t="s">
        <v>1615</v>
      </c>
      <c r="F678" s="2017" t="s">
        <v>1835</v>
      </c>
      <c r="G678" s="2018">
        <v>42824000</v>
      </c>
      <c r="H678" s="2024"/>
    </row>
    <row r="679" spans="1:8" ht="15.75" customHeight="1" x14ac:dyDescent="0.25">
      <c r="A679" s="2017" t="s">
        <v>1817</v>
      </c>
      <c r="B679" s="2017" t="s">
        <v>1592</v>
      </c>
      <c r="C679" s="2017" t="s">
        <v>1600</v>
      </c>
      <c r="D679" s="2017" t="s">
        <v>1617</v>
      </c>
      <c r="E679" s="2017" t="s">
        <v>1615</v>
      </c>
      <c r="F679" s="2017" t="s">
        <v>1635</v>
      </c>
      <c r="G679" s="2018">
        <v>7462727</v>
      </c>
      <c r="H679" s="2024"/>
    </row>
    <row r="680" spans="1:8" ht="15.75" customHeight="1" x14ac:dyDescent="0.25">
      <c r="A680" s="2017" t="s">
        <v>1817</v>
      </c>
      <c r="B680" s="2017" t="s">
        <v>1592</v>
      </c>
      <c r="C680" s="2017" t="s">
        <v>1600</v>
      </c>
      <c r="D680" s="2017" t="s">
        <v>1617</v>
      </c>
      <c r="E680" s="2017" t="s">
        <v>1615</v>
      </c>
      <c r="F680" s="2017" t="s">
        <v>1763</v>
      </c>
      <c r="G680" s="2018">
        <v>25250000</v>
      </c>
      <c r="H680" s="2024"/>
    </row>
    <row r="681" spans="1:8" ht="15.75" customHeight="1" x14ac:dyDescent="0.25">
      <c r="A681" s="2017" t="s">
        <v>1817</v>
      </c>
      <c r="B681" s="2017" t="s">
        <v>1592</v>
      </c>
      <c r="C681" s="2017" t="s">
        <v>1600</v>
      </c>
      <c r="D681" s="2017" t="s">
        <v>1617</v>
      </c>
      <c r="E681" s="2017" t="s">
        <v>1615</v>
      </c>
      <c r="F681" s="2017" t="s">
        <v>1616</v>
      </c>
      <c r="G681" s="2018">
        <v>458153280</v>
      </c>
      <c r="H681" s="2024"/>
    </row>
    <row r="682" spans="1:8" ht="15.75" customHeight="1" x14ac:dyDescent="0.25">
      <c r="A682" s="2017" t="s">
        <v>1817</v>
      </c>
      <c r="B682" s="2017" t="s">
        <v>1592</v>
      </c>
      <c r="C682" s="2017" t="s">
        <v>1600</v>
      </c>
      <c r="D682" s="2017" t="s">
        <v>1617</v>
      </c>
      <c r="E682" s="2017" t="s">
        <v>1801</v>
      </c>
      <c r="F682" s="2017" t="s">
        <v>1646</v>
      </c>
      <c r="G682" s="2018">
        <v>4212000</v>
      </c>
      <c r="H682" s="2024"/>
    </row>
    <row r="683" spans="1:8" ht="15.75" customHeight="1" x14ac:dyDescent="0.25">
      <c r="A683" s="2017" t="s">
        <v>1817</v>
      </c>
      <c r="B683" s="2017" t="s">
        <v>1592</v>
      </c>
      <c r="C683" s="2017" t="s">
        <v>1600</v>
      </c>
      <c r="D683" s="2017" t="s">
        <v>1617</v>
      </c>
      <c r="E683" s="2017" t="s">
        <v>1801</v>
      </c>
      <c r="F683" s="2017" t="s">
        <v>1804</v>
      </c>
      <c r="G683" s="2018">
        <v>4212000</v>
      </c>
      <c r="H683" s="2024"/>
    </row>
    <row r="684" spans="1:8" ht="15.75" customHeight="1" x14ac:dyDescent="0.25">
      <c r="A684" s="2017" t="s">
        <v>1817</v>
      </c>
      <c r="B684" s="2017" t="s">
        <v>1592</v>
      </c>
      <c r="C684" s="2017" t="s">
        <v>1600</v>
      </c>
      <c r="D684" s="2017" t="s">
        <v>1617</v>
      </c>
      <c r="E684" s="2017" t="s">
        <v>1836</v>
      </c>
      <c r="F684" s="2017" t="s">
        <v>1646</v>
      </c>
      <c r="G684" s="2018">
        <v>5323309400</v>
      </c>
      <c r="H684" s="2024"/>
    </row>
    <row r="685" spans="1:8" ht="15.75" customHeight="1" x14ac:dyDescent="0.25">
      <c r="A685" s="2017" t="s">
        <v>1817</v>
      </c>
      <c r="B685" s="2017" t="s">
        <v>1592</v>
      </c>
      <c r="C685" s="2017" t="s">
        <v>1600</v>
      </c>
      <c r="D685" s="2017" t="s">
        <v>1617</v>
      </c>
      <c r="E685" s="2017" t="s">
        <v>1836</v>
      </c>
      <c r="F685" s="2017" t="s">
        <v>1839</v>
      </c>
      <c r="G685" s="2018">
        <v>323309400</v>
      </c>
      <c r="H685" s="2024"/>
    </row>
    <row r="686" spans="1:8" ht="15.75" customHeight="1" x14ac:dyDescent="0.25">
      <c r="A686" s="2017" t="s">
        <v>1817</v>
      </c>
      <c r="B686" s="2017" t="s">
        <v>1592</v>
      </c>
      <c r="C686" s="2017" t="s">
        <v>1600</v>
      </c>
      <c r="D686" s="2017" t="s">
        <v>1617</v>
      </c>
      <c r="E686" s="2017" t="s">
        <v>1836</v>
      </c>
      <c r="F686" s="2017" t="s">
        <v>1840</v>
      </c>
      <c r="G686" s="2018">
        <v>5000000000</v>
      </c>
      <c r="H686" s="2024"/>
    </row>
    <row r="687" spans="1:8" ht="15.75" customHeight="1" x14ac:dyDescent="0.25">
      <c r="A687" s="2017" t="s">
        <v>1817</v>
      </c>
      <c r="B687" s="2017" t="s">
        <v>1592</v>
      </c>
      <c r="C687" s="2017" t="s">
        <v>1642</v>
      </c>
      <c r="D687" s="2017" t="s">
        <v>1646</v>
      </c>
      <c r="E687" s="2017" t="s">
        <v>1646</v>
      </c>
      <c r="F687" s="2017" t="s">
        <v>1646</v>
      </c>
      <c r="G687" s="2018">
        <v>122721987163</v>
      </c>
      <c r="H687" s="2024"/>
    </row>
    <row r="688" spans="1:8" ht="15.75" customHeight="1" x14ac:dyDescent="0.25">
      <c r="A688" s="2017" t="s">
        <v>1817</v>
      </c>
      <c r="B688" s="2017" t="s">
        <v>1592</v>
      </c>
      <c r="C688" s="2017" t="s">
        <v>1642</v>
      </c>
      <c r="D688" s="2017" t="s">
        <v>1650</v>
      </c>
      <c r="E688" s="2017" t="s">
        <v>1646</v>
      </c>
      <c r="F688" s="2017" t="s">
        <v>1646</v>
      </c>
      <c r="G688" s="2018">
        <v>95523111408</v>
      </c>
      <c r="H688" s="2024"/>
    </row>
    <row r="689" spans="1:8" ht="15.75" customHeight="1" x14ac:dyDescent="0.25">
      <c r="A689" s="2017" t="s">
        <v>1817</v>
      </c>
      <c r="B689" s="2017" t="s">
        <v>1592</v>
      </c>
      <c r="C689" s="2017" t="s">
        <v>1642</v>
      </c>
      <c r="D689" s="2017" t="s">
        <v>1650</v>
      </c>
      <c r="E689" s="2017" t="s">
        <v>1730</v>
      </c>
      <c r="F689" s="2017" t="s">
        <v>1646</v>
      </c>
      <c r="G689" s="2018">
        <v>10965214733</v>
      </c>
      <c r="H689" s="2024"/>
    </row>
    <row r="690" spans="1:8" ht="15.75" customHeight="1" x14ac:dyDescent="0.25">
      <c r="A690" s="2017" t="s">
        <v>1817</v>
      </c>
      <c r="B690" s="2017" t="s">
        <v>1592</v>
      </c>
      <c r="C690" s="2017" t="s">
        <v>1642</v>
      </c>
      <c r="D690" s="2017" t="s">
        <v>1650</v>
      </c>
      <c r="E690" s="2017" t="s">
        <v>1730</v>
      </c>
      <c r="F690" s="2017" t="s">
        <v>1731</v>
      </c>
      <c r="G690" s="2018">
        <v>10965214733</v>
      </c>
      <c r="H690" s="2024"/>
    </row>
    <row r="691" spans="1:8" ht="15.75" customHeight="1" x14ac:dyDescent="0.25">
      <c r="A691" s="2017" t="s">
        <v>1817</v>
      </c>
      <c r="B691" s="2017" t="s">
        <v>1592</v>
      </c>
      <c r="C691" s="2017" t="s">
        <v>1642</v>
      </c>
      <c r="D691" s="2017" t="s">
        <v>1650</v>
      </c>
      <c r="E691" s="2017" t="s">
        <v>1732</v>
      </c>
      <c r="F691" s="2017" t="s">
        <v>1646</v>
      </c>
      <c r="G691" s="2018">
        <v>493970838</v>
      </c>
      <c r="H691" s="2024"/>
    </row>
    <row r="692" spans="1:8" ht="15.75" customHeight="1" x14ac:dyDescent="0.25">
      <c r="A692" s="2017" t="s">
        <v>1817</v>
      </c>
      <c r="B692" s="2017" t="s">
        <v>1592</v>
      </c>
      <c r="C692" s="2017" t="s">
        <v>1642</v>
      </c>
      <c r="D692" s="2017" t="s">
        <v>1650</v>
      </c>
      <c r="E692" s="2017" t="s">
        <v>1732</v>
      </c>
      <c r="F692" s="2017" t="s">
        <v>1733</v>
      </c>
      <c r="G692" s="2018">
        <v>493970838</v>
      </c>
      <c r="H692" s="2024"/>
    </row>
    <row r="693" spans="1:8" ht="15.75" customHeight="1" x14ac:dyDescent="0.25">
      <c r="A693" s="2017" t="s">
        <v>1817</v>
      </c>
      <c r="B693" s="2017" t="s">
        <v>1592</v>
      </c>
      <c r="C693" s="2017" t="s">
        <v>1642</v>
      </c>
      <c r="D693" s="2017" t="s">
        <v>1650</v>
      </c>
      <c r="E693" s="2017" t="s">
        <v>1607</v>
      </c>
      <c r="F693" s="2017" t="s">
        <v>1646</v>
      </c>
      <c r="G693" s="2018">
        <v>6317563615</v>
      </c>
      <c r="H693" s="2024"/>
    </row>
    <row r="694" spans="1:8" ht="15.75" customHeight="1" x14ac:dyDescent="0.25">
      <c r="A694" s="2017" t="s">
        <v>1817</v>
      </c>
      <c r="B694" s="2017" t="s">
        <v>1592</v>
      </c>
      <c r="C694" s="2017" t="s">
        <v>1642</v>
      </c>
      <c r="D694" s="2017" t="s">
        <v>1650</v>
      </c>
      <c r="E694" s="2017" t="s">
        <v>1607</v>
      </c>
      <c r="F694" s="2017" t="s">
        <v>1734</v>
      </c>
      <c r="G694" s="2018">
        <v>340457120</v>
      </c>
      <c r="H694" s="2024"/>
    </row>
    <row r="695" spans="1:8" ht="15.75" customHeight="1" x14ac:dyDescent="0.25">
      <c r="A695" s="2017" t="s">
        <v>1817</v>
      </c>
      <c r="B695" s="2017" t="s">
        <v>1592</v>
      </c>
      <c r="C695" s="2017" t="s">
        <v>1642</v>
      </c>
      <c r="D695" s="2017" t="s">
        <v>1650</v>
      </c>
      <c r="E695" s="2017" t="s">
        <v>1607</v>
      </c>
      <c r="F695" s="2017" t="s">
        <v>1735</v>
      </c>
      <c r="G695" s="2018">
        <v>865566000</v>
      </c>
      <c r="H695" s="2024"/>
    </row>
    <row r="696" spans="1:8" ht="15.75" customHeight="1" x14ac:dyDescent="0.25">
      <c r="A696" s="2017" t="s">
        <v>1817</v>
      </c>
      <c r="B696" s="2017" t="s">
        <v>1592</v>
      </c>
      <c r="C696" s="2017" t="s">
        <v>1642</v>
      </c>
      <c r="D696" s="2017" t="s">
        <v>1650</v>
      </c>
      <c r="E696" s="2017" t="s">
        <v>1607</v>
      </c>
      <c r="F696" s="2017" t="s">
        <v>1608</v>
      </c>
      <c r="G696" s="2018">
        <v>1294473821</v>
      </c>
      <c r="H696" s="2024"/>
    </row>
    <row r="697" spans="1:8" ht="15.75" customHeight="1" x14ac:dyDescent="0.25">
      <c r="A697" s="2017" t="s">
        <v>1817</v>
      </c>
      <c r="B697" s="2017" t="s">
        <v>1592</v>
      </c>
      <c r="C697" s="2017" t="s">
        <v>1642</v>
      </c>
      <c r="D697" s="2017" t="s">
        <v>1650</v>
      </c>
      <c r="E697" s="2017" t="s">
        <v>1607</v>
      </c>
      <c r="F697" s="2017" t="s">
        <v>1780</v>
      </c>
      <c r="G697" s="2018">
        <v>799999200</v>
      </c>
      <c r="H697" s="2024"/>
    </row>
    <row r="698" spans="1:8" ht="15.75" customHeight="1" x14ac:dyDescent="0.25">
      <c r="A698" s="2017" t="s">
        <v>1817</v>
      </c>
      <c r="B698" s="2017" t="s">
        <v>1592</v>
      </c>
      <c r="C698" s="2017" t="s">
        <v>1642</v>
      </c>
      <c r="D698" s="2017" t="s">
        <v>1650</v>
      </c>
      <c r="E698" s="2017" t="s">
        <v>1607</v>
      </c>
      <c r="F698" s="2017" t="s">
        <v>1737</v>
      </c>
      <c r="G698" s="2018">
        <v>77631840</v>
      </c>
      <c r="H698" s="2024"/>
    </row>
    <row r="699" spans="1:8" ht="15.75" customHeight="1" x14ac:dyDescent="0.25">
      <c r="A699" s="2017" t="s">
        <v>1817</v>
      </c>
      <c r="B699" s="2017" t="s">
        <v>1592</v>
      </c>
      <c r="C699" s="2017" t="s">
        <v>1642</v>
      </c>
      <c r="D699" s="2017" t="s">
        <v>1650</v>
      </c>
      <c r="E699" s="2017" t="s">
        <v>1607</v>
      </c>
      <c r="F699" s="2017" t="s">
        <v>1841</v>
      </c>
      <c r="G699" s="2018">
        <v>15434427</v>
      </c>
      <c r="H699" s="2024"/>
    </row>
    <row r="700" spans="1:8" ht="15.75" customHeight="1" x14ac:dyDescent="0.25">
      <c r="A700" s="2017" t="s">
        <v>1817</v>
      </c>
      <c r="B700" s="2017" t="s">
        <v>1592</v>
      </c>
      <c r="C700" s="2017" t="s">
        <v>1642</v>
      </c>
      <c r="D700" s="2017" t="s">
        <v>1650</v>
      </c>
      <c r="E700" s="2017" t="s">
        <v>1607</v>
      </c>
      <c r="F700" s="2017" t="s">
        <v>1726</v>
      </c>
      <c r="G700" s="2018">
        <v>7292376</v>
      </c>
      <c r="H700" s="2024"/>
    </row>
    <row r="701" spans="1:8" ht="15.75" customHeight="1" x14ac:dyDescent="0.25">
      <c r="A701" s="2017" t="s">
        <v>1817</v>
      </c>
      <c r="B701" s="2017" t="s">
        <v>1592</v>
      </c>
      <c r="C701" s="2017" t="s">
        <v>1642</v>
      </c>
      <c r="D701" s="2017" t="s">
        <v>1650</v>
      </c>
      <c r="E701" s="2017" t="s">
        <v>1607</v>
      </c>
      <c r="F701" s="2017" t="s">
        <v>1799</v>
      </c>
      <c r="G701" s="2018">
        <v>39227760</v>
      </c>
      <c r="H701" s="2024"/>
    </row>
    <row r="702" spans="1:8" ht="15.75" customHeight="1" x14ac:dyDescent="0.25">
      <c r="A702" s="2017" t="s">
        <v>1817</v>
      </c>
      <c r="B702" s="2017" t="s">
        <v>1592</v>
      </c>
      <c r="C702" s="2017" t="s">
        <v>1642</v>
      </c>
      <c r="D702" s="2017" t="s">
        <v>1650</v>
      </c>
      <c r="E702" s="2017" t="s">
        <v>1607</v>
      </c>
      <c r="F702" s="2017" t="s">
        <v>1781</v>
      </c>
      <c r="G702" s="2018">
        <v>2821929471</v>
      </c>
      <c r="H702" s="2024"/>
    </row>
    <row r="703" spans="1:8" ht="15.75" customHeight="1" x14ac:dyDescent="0.25">
      <c r="A703" s="2017" t="s">
        <v>1817</v>
      </c>
      <c r="B703" s="2017" t="s">
        <v>1592</v>
      </c>
      <c r="C703" s="2017" t="s">
        <v>1642</v>
      </c>
      <c r="D703" s="2017" t="s">
        <v>1650</v>
      </c>
      <c r="E703" s="2017" t="s">
        <v>1607</v>
      </c>
      <c r="F703" s="2017" t="s">
        <v>1738</v>
      </c>
      <c r="G703" s="2018">
        <v>55551600</v>
      </c>
      <c r="H703" s="2024"/>
    </row>
    <row r="704" spans="1:8" ht="15.75" customHeight="1" x14ac:dyDescent="0.25">
      <c r="A704" s="2017" t="s">
        <v>1817</v>
      </c>
      <c r="B704" s="2017" t="s">
        <v>1592</v>
      </c>
      <c r="C704" s="2017" t="s">
        <v>1642</v>
      </c>
      <c r="D704" s="2017" t="s">
        <v>1650</v>
      </c>
      <c r="E704" s="2017" t="s">
        <v>1741</v>
      </c>
      <c r="F704" s="2017" t="s">
        <v>1646</v>
      </c>
      <c r="G704" s="2018">
        <v>1474081000</v>
      </c>
      <c r="H704" s="2024"/>
    </row>
    <row r="705" spans="1:8" ht="15.75" customHeight="1" x14ac:dyDescent="0.25">
      <c r="A705" s="2017" t="s">
        <v>1817</v>
      </c>
      <c r="B705" s="2017" t="s">
        <v>1592</v>
      </c>
      <c r="C705" s="2017" t="s">
        <v>1642</v>
      </c>
      <c r="D705" s="2017" t="s">
        <v>1650</v>
      </c>
      <c r="E705" s="2017" t="s">
        <v>1741</v>
      </c>
      <c r="F705" s="2017" t="s">
        <v>1742</v>
      </c>
      <c r="G705" s="2018">
        <v>1109618000</v>
      </c>
      <c r="H705" s="2024"/>
    </row>
    <row r="706" spans="1:8" ht="15.75" customHeight="1" x14ac:dyDescent="0.25">
      <c r="A706" s="2017" t="s">
        <v>1817</v>
      </c>
      <c r="B706" s="2017" t="s">
        <v>1592</v>
      </c>
      <c r="C706" s="2017" t="s">
        <v>1642</v>
      </c>
      <c r="D706" s="2017" t="s">
        <v>1650</v>
      </c>
      <c r="E706" s="2017" t="s">
        <v>1741</v>
      </c>
      <c r="F706" s="2017" t="s">
        <v>1782</v>
      </c>
      <c r="G706" s="2018">
        <v>338603000</v>
      </c>
      <c r="H706" s="2024"/>
    </row>
    <row r="707" spans="1:8" ht="15.75" customHeight="1" x14ac:dyDescent="0.25">
      <c r="A707" s="2017" t="s">
        <v>1817</v>
      </c>
      <c r="B707" s="2017" t="s">
        <v>1592</v>
      </c>
      <c r="C707" s="2017" t="s">
        <v>1642</v>
      </c>
      <c r="D707" s="2017" t="s">
        <v>1650</v>
      </c>
      <c r="E707" s="2017" t="s">
        <v>1741</v>
      </c>
      <c r="F707" s="2017" t="s">
        <v>1783</v>
      </c>
      <c r="G707" s="2018">
        <v>25860000</v>
      </c>
      <c r="H707" s="2024"/>
    </row>
    <row r="708" spans="1:8" ht="15.75" customHeight="1" x14ac:dyDescent="0.25">
      <c r="A708" s="2017" t="s">
        <v>1817</v>
      </c>
      <c r="B708" s="2017" t="s">
        <v>1592</v>
      </c>
      <c r="C708" s="2017" t="s">
        <v>1642</v>
      </c>
      <c r="D708" s="2017" t="s">
        <v>1650</v>
      </c>
      <c r="E708" s="2017" t="s">
        <v>1784</v>
      </c>
      <c r="F708" s="2017" t="s">
        <v>1646</v>
      </c>
      <c r="G708" s="2018">
        <v>689011000</v>
      </c>
      <c r="H708" s="2024"/>
    </row>
    <row r="709" spans="1:8" ht="15.75" customHeight="1" x14ac:dyDescent="0.25">
      <c r="A709" s="2017" t="s">
        <v>1817</v>
      </c>
      <c r="B709" s="2017" t="s">
        <v>1592</v>
      </c>
      <c r="C709" s="2017" t="s">
        <v>1642</v>
      </c>
      <c r="D709" s="2017" t="s">
        <v>1650</v>
      </c>
      <c r="E709" s="2017" t="s">
        <v>1784</v>
      </c>
      <c r="F709" s="2017" t="s">
        <v>1785</v>
      </c>
      <c r="G709" s="2018">
        <v>689011000</v>
      </c>
      <c r="H709" s="2024"/>
    </row>
    <row r="710" spans="1:8" ht="15.75" customHeight="1" x14ac:dyDescent="0.25">
      <c r="A710" s="2017" t="s">
        <v>1817</v>
      </c>
      <c r="B710" s="2017" t="s">
        <v>1592</v>
      </c>
      <c r="C710" s="2017" t="s">
        <v>1642</v>
      </c>
      <c r="D710" s="2017" t="s">
        <v>1650</v>
      </c>
      <c r="E710" s="2017" t="s">
        <v>1743</v>
      </c>
      <c r="F710" s="2017" t="s">
        <v>1646</v>
      </c>
      <c r="G710" s="2018">
        <v>2676977616</v>
      </c>
      <c r="H710" s="2024"/>
    </row>
    <row r="711" spans="1:8" ht="15.75" customHeight="1" x14ac:dyDescent="0.25">
      <c r="A711" s="2017" t="s">
        <v>1817</v>
      </c>
      <c r="B711" s="2017" t="s">
        <v>1592</v>
      </c>
      <c r="C711" s="2017" t="s">
        <v>1642</v>
      </c>
      <c r="D711" s="2017" t="s">
        <v>1650</v>
      </c>
      <c r="E711" s="2017" t="s">
        <v>1743</v>
      </c>
      <c r="F711" s="2017" t="s">
        <v>1744</v>
      </c>
      <c r="G711" s="2018">
        <v>2135625413</v>
      </c>
      <c r="H711" s="2024"/>
    </row>
    <row r="712" spans="1:8" ht="15.75" customHeight="1" x14ac:dyDescent="0.25">
      <c r="A712" s="2017" t="s">
        <v>1817</v>
      </c>
      <c r="B712" s="2017" t="s">
        <v>1592</v>
      </c>
      <c r="C712" s="2017" t="s">
        <v>1642</v>
      </c>
      <c r="D712" s="2017" t="s">
        <v>1650</v>
      </c>
      <c r="E712" s="2017" t="s">
        <v>1743</v>
      </c>
      <c r="F712" s="2017" t="s">
        <v>1745</v>
      </c>
      <c r="G712" s="2018">
        <v>388428029</v>
      </c>
      <c r="H712" s="2024"/>
    </row>
    <row r="713" spans="1:8" ht="15.75" customHeight="1" x14ac:dyDescent="0.25">
      <c r="A713" s="2017" t="s">
        <v>1817</v>
      </c>
      <c r="B713" s="2017" t="s">
        <v>1592</v>
      </c>
      <c r="C713" s="2017" t="s">
        <v>1642</v>
      </c>
      <c r="D713" s="2017" t="s">
        <v>1650</v>
      </c>
      <c r="E713" s="2017" t="s">
        <v>1743</v>
      </c>
      <c r="F713" s="2017" t="s">
        <v>1746</v>
      </c>
      <c r="G713" s="2018">
        <v>144049303</v>
      </c>
      <c r="H713" s="2024"/>
    </row>
    <row r="714" spans="1:8" ht="15.75" customHeight="1" x14ac:dyDescent="0.25">
      <c r="A714" s="2017" t="s">
        <v>1817</v>
      </c>
      <c r="B714" s="2017" t="s">
        <v>1592</v>
      </c>
      <c r="C714" s="2017" t="s">
        <v>1642</v>
      </c>
      <c r="D714" s="2017" t="s">
        <v>1650</v>
      </c>
      <c r="E714" s="2017" t="s">
        <v>1743</v>
      </c>
      <c r="F714" s="2017" t="s">
        <v>1747</v>
      </c>
      <c r="G714" s="2018">
        <v>3699259</v>
      </c>
      <c r="H714" s="2024"/>
    </row>
    <row r="715" spans="1:8" ht="15.75" customHeight="1" x14ac:dyDescent="0.25">
      <c r="A715" s="2017" t="s">
        <v>1817</v>
      </c>
      <c r="B715" s="2017" t="s">
        <v>1592</v>
      </c>
      <c r="C715" s="2017" t="s">
        <v>1642</v>
      </c>
      <c r="D715" s="2017" t="s">
        <v>1650</v>
      </c>
      <c r="E715" s="2017" t="s">
        <v>1743</v>
      </c>
      <c r="F715" s="2017" t="s">
        <v>1842</v>
      </c>
      <c r="G715" s="2018">
        <v>5175612</v>
      </c>
      <c r="H715" s="2024"/>
    </row>
    <row r="716" spans="1:8" ht="15.75" customHeight="1" x14ac:dyDescent="0.25">
      <c r="A716" s="2017" t="s">
        <v>1817</v>
      </c>
      <c r="B716" s="2017" t="s">
        <v>1592</v>
      </c>
      <c r="C716" s="2017" t="s">
        <v>1642</v>
      </c>
      <c r="D716" s="2017" t="s">
        <v>1650</v>
      </c>
      <c r="E716" s="2017" t="s">
        <v>1727</v>
      </c>
      <c r="F716" s="2017" t="s">
        <v>1646</v>
      </c>
      <c r="G716" s="2018">
        <v>1594204165</v>
      </c>
      <c r="H716" s="2024"/>
    </row>
    <row r="717" spans="1:8" ht="15.75" customHeight="1" x14ac:dyDescent="0.25">
      <c r="A717" s="2017" t="s">
        <v>1817</v>
      </c>
      <c r="B717" s="2017" t="s">
        <v>1592</v>
      </c>
      <c r="C717" s="2017" t="s">
        <v>1642</v>
      </c>
      <c r="D717" s="2017" t="s">
        <v>1650</v>
      </c>
      <c r="E717" s="2017" t="s">
        <v>1727</v>
      </c>
      <c r="F717" s="2017" t="s">
        <v>1786</v>
      </c>
      <c r="G717" s="2018">
        <v>390585465</v>
      </c>
      <c r="H717" s="2024"/>
    </row>
    <row r="718" spans="1:8" ht="15.75" customHeight="1" x14ac:dyDescent="0.25">
      <c r="A718" s="2017" t="s">
        <v>1817</v>
      </c>
      <c r="B718" s="2017" t="s">
        <v>1592</v>
      </c>
      <c r="C718" s="2017" t="s">
        <v>1642</v>
      </c>
      <c r="D718" s="2017" t="s">
        <v>1650</v>
      </c>
      <c r="E718" s="2017" t="s">
        <v>1727</v>
      </c>
      <c r="F718" s="2017" t="s">
        <v>1728</v>
      </c>
      <c r="G718" s="2018">
        <v>1203618700</v>
      </c>
      <c r="H718" s="2024"/>
    </row>
    <row r="719" spans="1:8" ht="15.75" customHeight="1" x14ac:dyDescent="0.25">
      <c r="A719" s="2017" t="s">
        <v>1817</v>
      </c>
      <c r="B719" s="2017" t="s">
        <v>1592</v>
      </c>
      <c r="C719" s="2017" t="s">
        <v>1642</v>
      </c>
      <c r="D719" s="2017" t="s">
        <v>1650</v>
      </c>
      <c r="E719" s="2017" t="s">
        <v>1748</v>
      </c>
      <c r="F719" s="2017" t="s">
        <v>1646</v>
      </c>
      <c r="G719" s="2018">
        <v>1714743271</v>
      </c>
      <c r="H719" s="2024"/>
    </row>
    <row r="720" spans="1:8" ht="15.75" customHeight="1" x14ac:dyDescent="0.25">
      <c r="A720" s="2017" t="s">
        <v>1817</v>
      </c>
      <c r="B720" s="2017" t="s">
        <v>1592</v>
      </c>
      <c r="C720" s="2017" t="s">
        <v>1642</v>
      </c>
      <c r="D720" s="2017" t="s">
        <v>1650</v>
      </c>
      <c r="E720" s="2017" t="s">
        <v>1748</v>
      </c>
      <c r="F720" s="2017" t="s">
        <v>1749</v>
      </c>
      <c r="G720" s="2018">
        <v>1560000</v>
      </c>
      <c r="H720" s="2024"/>
    </row>
    <row r="721" spans="1:8" ht="15.75" customHeight="1" x14ac:dyDescent="0.25">
      <c r="A721" s="2017" t="s">
        <v>1817</v>
      </c>
      <c r="B721" s="2017" t="s">
        <v>1592</v>
      </c>
      <c r="C721" s="2017" t="s">
        <v>1642</v>
      </c>
      <c r="D721" s="2017" t="s">
        <v>1650</v>
      </c>
      <c r="E721" s="2017" t="s">
        <v>1748</v>
      </c>
      <c r="F721" s="2017" t="s">
        <v>1767</v>
      </c>
      <c r="G721" s="2018">
        <v>1569344941</v>
      </c>
      <c r="H721" s="2024"/>
    </row>
    <row r="722" spans="1:8" ht="15.75" customHeight="1" x14ac:dyDescent="0.25">
      <c r="A722" s="2017" t="s">
        <v>1817</v>
      </c>
      <c r="B722" s="2017" t="s">
        <v>1592</v>
      </c>
      <c r="C722" s="2017" t="s">
        <v>1642</v>
      </c>
      <c r="D722" s="2017" t="s">
        <v>1650</v>
      </c>
      <c r="E722" s="2017" t="s">
        <v>1748</v>
      </c>
      <c r="F722" s="2017" t="s">
        <v>1750</v>
      </c>
      <c r="G722" s="2018">
        <v>143838330</v>
      </c>
      <c r="H722" s="2024"/>
    </row>
    <row r="723" spans="1:8" ht="15.75" customHeight="1" x14ac:dyDescent="0.25">
      <c r="A723" s="2017" t="s">
        <v>1817</v>
      </c>
      <c r="B723" s="2017" t="s">
        <v>1592</v>
      </c>
      <c r="C723" s="2017" t="s">
        <v>1642</v>
      </c>
      <c r="D723" s="2017" t="s">
        <v>1650</v>
      </c>
      <c r="E723" s="2017" t="s">
        <v>1751</v>
      </c>
      <c r="F723" s="2017" t="s">
        <v>1646</v>
      </c>
      <c r="G723" s="2018">
        <v>643556165</v>
      </c>
      <c r="H723" s="2024"/>
    </row>
    <row r="724" spans="1:8" ht="15.75" customHeight="1" x14ac:dyDescent="0.25">
      <c r="A724" s="2017" t="s">
        <v>1817</v>
      </c>
      <c r="B724" s="2017" t="s">
        <v>1592</v>
      </c>
      <c r="C724" s="2017" t="s">
        <v>1642</v>
      </c>
      <c r="D724" s="2017" t="s">
        <v>1650</v>
      </c>
      <c r="E724" s="2017" t="s">
        <v>1751</v>
      </c>
      <c r="F724" s="2017" t="s">
        <v>1752</v>
      </c>
      <c r="G724" s="2018">
        <v>446267121</v>
      </c>
      <c r="H724" s="2024"/>
    </row>
    <row r="725" spans="1:8" ht="15.75" customHeight="1" x14ac:dyDescent="0.25">
      <c r="A725" s="2017" t="s">
        <v>1817</v>
      </c>
      <c r="B725" s="2017" t="s">
        <v>1592</v>
      </c>
      <c r="C725" s="2017" t="s">
        <v>1642</v>
      </c>
      <c r="D725" s="2017" t="s">
        <v>1650</v>
      </c>
      <c r="E725" s="2017" t="s">
        <v>1751</v>
      </c>
      <c r="F725" s="2017" t="s">
        <v>1818</v>
      </c>
      <c r="G725" s="2018">
        <v>44899750</v>
      </c>
      <c r="H725" s="2024"/>
    </row>
    <row r="726" spans="1:8" ht="15.75" customHeight="1" x14ac:dyDescent="0.25">
      <c r="A726" s="2017" t="s">
        <v>1817</v>
      </c>
      <c r="B726" s="2017" t="s">
        <v>1592</v>
      </c>
      <c r="C726" s="2017" t="s">
        <v>1642</v>
      </c>
      <c r="D726" s="2017" t="s">
        <v>1650</v>
      </c>
      <c r="E726" s="2017" t="s">
        <v>1751</v>
      </c>
      <c r="F726" s="2017" t="s">
        <v>1787</v>
      </c>
      <c r="G726" s="2018">
        <v>142741294</v>
      </c>
      <c r="H726" s="2024"/>
    </row>
    <row r="727" spans="1:8" ht="15.75" customHeight="1" x14ac:dyDescent="0.25">
      <c r="A727" s="2017" t="s">
        <v>1817</v>
      </c>
      <c r="B727" s="2017" t="s">
        <v>1592</v>
      </c>
      <c r="C727" s="2017" t="s">
        <v>1642</v>
      </c>
      <c r="D727" s="2017" t="s">
        <v>1650</v>
      </c>
      <c r="E727" s="2017" t="s">
        <v>1751</v>
      </c>
      <c r="F727" s="2017" t="s">
        <v>1753</v>
      </c>
      <c r="G727" s="2018">
        <v>1440000</v>
      </c>
      <c r="H727" s="2024"/>
    </row>
    <row r="728" spans="1:8" ht="15.75" customHeight="1" x14ac:dyDescent="0.25">
      <c r="A728" s="2017" t="s">
        <v>1817</v>
      </c>
      <c r="B728" s="2017" t="s">
        <v>1592</v>
      </c>
      <c r="C728" s="2017" t="s">
        <v>1642</v>
      </c>
      <c r="D728" s="2017" t="s">
        <v>1650</v>
      </c>
      <c r="E728" s="2017" t="s">
        <v>1751</v>
      </c>
      <c r="F728" s="2017" t="s">
        <v>1819</v>
      </c>
      <c r="G728" s="2018">
        <v>6768000</v>
      </c>
      <c r="H728" s="2024"/>
    </row>
    <row r="729" spans="1:8" ht="15.75" customHeight="1" x14ac:dyDescent="0.25">
      <c r="A729" s="2017" t="s">
        <v>1817</v>
      </c>
      <c r="B729" s="2017" t="s">
        <v>1592</v>
      </c>
      <c r="C729" s="2017" t="s">
        <v>1642</v>
      </c>
      <c r="D729" s="2017" t="s">
        <v>1650</v>
      </c>
      <c r="E729" s="2017" t="s">
        <v>1751</v>
      </c>
      <c r="F729" s="2017" t="s">
        <v>1831</v>
      </c>
      <c r="G729" s="2018">
        <v>1440000</v>
      </c>
      <c r="H729" s="2024"/>
    </row>
    <row r="730" spans="1:8" ht="15.75" customHeight="1" x14ac:dyDescent="0.25">
      <c r="A730" s="2017" t="s">
        <v>1817</v>
      </c>
      <c r="B730" s="2017" t="s">
        <v>1592</v>
      </c>
      <c r="C730" s="2017" t="s">
        <v>1642</v>
      </c>
      <c r="D730" s="2017" t="s">
        <v>1650</v>
      </c>
      <c r="E730" s="2017" t="s">
        <v>1623</v>
      </c>
      <c r="F730" s="2017" t="s">
        <v>1646</v>
      </c>
      <c r="G730" s="2018">
        <v>1314576982</v>
      </c>
      <c r="H730" s="2024"/>
    </row>
    <row r="731" spans="1:8" ht="15.75" customHeight="1" x14ac:dyDescent="0.25">
      <c r="A731" s="2017" t="s">
        <v>1817</v>
      </c>
      <c r="B731" s="2017" t="s">
        <v>1592</v>
      </c>
      <c r="C731" s="2017" t="s">
        <v>1642</v>
      </c>
      <c r="D731" s="2017" t="s">
        <v>1650</v>
      </c>
      <c r="E731" s="2017" t="s">
        <v>1623</v>
      </c>
      <c r="F731" s="2017" t="s">
        <v>1624</v>
      </c>
      <c r="G731" s="2018">
        <v>615461018</v>
      </c>
      <c r="H731" s="2024"/>
    </row>
    <row r="732" spans="1:8" ht="15.75" customHeight="1" x14ac:dyDescent="0.25">
      <c r="A732" s="2017" t="s">
        <v>1817</v>
      </c>
      <c r="B732" s="2017" t="s">
        <v>1592</v>
      </c>
      <c r="C732" s="2017" t="s">
        <v>1642</v>
      </c>
      <c r="D732" s="2017" t="s">
        <v>1650</v>
      </c>
      <c r="E732" s="2017" t="s">
        <v>1623</v>
      </c>
      <c r="F732" s="2017" t="s">
        <v>1639</v>
      </c>
      <c r="G732" s="2018">
        <v>173320000</v>
      </c>
      <c r="H732" s="2024"/>
    </row>
    <row r="733" spans="1:8" ht="15.75" customHeight="1" x14ac:dyDescent="0.25">
      <c r="A733" s="2017" t="s">
        <v>1817</v>
      </c>
      <c r="B733" s="2017" t="s">
        <v>1592</v>
      </c>
      <c r="C733" s="2017" t="s">
        <v>1642</v>
      </c>
      <c r="D733" s="2017" t="s">
        <v>1650</v>
      </c>
      <c r="E733" s="2017" t="s">
        <v>1623</v>
      </c>
      <c r="F733" s="2017" t="s">
        <v>1634</v>
      </c>
      <c r="G733" s="2018">
        <v>525795964</v>
      </c>
      <c r="H733" s="2024"/>
    </row>
    <row r="734" spans="1:8" ht="15.75" customHeight="1" x14ac:dyDescent="0.25">
      <c r="A734" s="2017" t="s">
        <v>1817</v>
      </c>
      <c r="B734" s="2017" t="s">
        <v>1592</v>
      </c>
      <c r="C734" s="2017" t="s">
        <v>1642</v>
      </c>
      <c r="D734" s="2017" t="s">
        <v>1650</v>
      </c>
      <c r="E734" s="2017" t="s">
        <v>1652</v>
      </c>
      <c r="F734" s="2017" t="s">
        <v>1646</v>
      </c>
      <c r="G734" s="2018">
        <v>403826660</v>
      </c>
      <c r="H734" s="2024"/>
    </row>
    <row r="735" spans="1:8" ht="15.75" customHeight="1" x14ac:dyDescent="0.25">
      <c r="A735" s="2017" t="s">
        <v>1817</v>
      </c>
      <c r="B735" s="2017" t="s">
        <v>1592</v>
      </c>
      <c r="C735" s="2017" t="s">
        <v>1642</v>
      </c>
      <c r="D735" s="2017" t="s">
        <v>1650</v>
      </c>
      <c r="E735" s="2017" t="s">
        <v>1652</v>
      </c>
      <c r="F735" s="2017" t="s">
        <v>1754</v>
      </c>
      <c r="G735" s="2018">
        <v>10144783</v>
      </c>
      <c r="H735" s="2024"/>
    </row>
    <row r="736" spans="1:8" ht="15.75" customHeight="1" x14ac:dyDescent="0.25">
      <c r="A736" s="2017" t="s">
        <v>1817</v>
      </c>
      <c r="B736" s="2017" t="s">
        <v>1592</v>
      </c>
      <c r="C736" s="2017" t="s">
        <v>1642</v>
      </c>
      <c r="D736" s="2017" t="s">
        <v>1650</v>
      </c>
      <c r="E736" s="2017" t="s">
        <v>1652</v>
      </c>
      <c r="F736" s="2017" t="s">
        <v>1788</v>
      </c>
      <c r="G736" s="2018">
        <v>17564711</v>
      </c>
      <c r="H736" s="2024"/>
    </row>
    <row r="737" spans="1:8" ht="15.75" customHeight="1" x14ac:dyDescent="0.25">
      <c r="A737" s="2017" t="s">
        <v>1817</v>
      </c>
      <c r="B737" s="2017" t="s">
        <v>1592</v>
      </c>
      <c r="C737" s="2017" t="s">
        <v>1642</v>
      </c>
      <c r="D737" s="2017" t="s">
        <v>1650</v>
      </c>
      <c r="E737" s="2017" t="s">
        <v>1652</v>
      </c>
      <c r="F737" s="2017" t="s">
        <v>1755</v>
      </c>
      <c r="G737" s="2018">
        <v>194438366</v>
      </c>
      <c r="H737" s="2024"/>
    </row>
    <row r="738" spans="1:8" ht="15.75" customHeight="1" x14ac:dyDescent="0.25">
      <c r="A738" s="2017" t="s">
        <v>1817</v>
      </c>
      <c r="B738" s="2017" t="s">
        <v>1592</v>
      </c>
      <c r="C738" s="2017" t="s">
        <v>1642</v>
      </c>
      <c r="D738" s="2017" t="s">
        <v>1650</v>
      </c>
      <c r="E738" s="2017" t="s">
        <v>1652</v>
      </c>
      <c r="F738" s="2017" t="s">
        <v>1653</v>
      </c>
      <c r="G738" s="2018">
        <v>172143400</v>
      </c>
      <c r="H738" s="2024"/>
    </row>
    <row r="739" spans="1:8" ht="15.75" customHeight="1" x14ac:dyDescent="0.25">
      <c r="A739" s="2017" t="s">
        <v>1817</v>
      </c>
      <c r="B739" s="2017" t="s">
        <v>1592</v>
      </c>
      <c r="C739" s="2017" t="s">
        <v>1642</v>
      </c>
      <c r="D739" s="2017" t="s">
        <v>1650</v>
      </c>
      <c r="E739" s="2017" t="s">
        <v>1652</v>
      </c>
      <c r="F739" s="2017" t="s">
        <v>1789</v>
      </c>
      <c r="G739" s="2018">
        <v>9535400</v>
      </c>
      <c r="H739" s="2024"/>
    </row>
    <row r="740" spans="1:8" ht="15.75" customHeight="1" x14ac:dyDescent="0.25">
      <c r="A740" s="2017" t="s">
        <v>1817</v>
      </c>
      <c r="B740" s="2017" t="s">
        <v>1592</v>
      </c>
      <c r="C740" s="2017" t="s">
        <v>1642</v>
      </c>
      <c r="D740" s="2017" t="s">
        <v>1650</v>
      </c>
      <c r="E740" s="2017" t="s">
        <v>1609</v>
      </c>
      <c r="F740" s="2017" t="s">
        <v>1646</v>
      </c>
      <c r="G740" s="2018">
        <v>755323976</v>
      </c>
      <c r="H740" s="2024"/>
    </row>
    <row r="741" spans="1:8" ht="15.75" customHeight="1" x14ac:dyDescent="0.25">
      <c r="A741" s="2017" t="s">
        <v>1817</v>
      </c>
      <c r="B741" s="2017" t="s">
        <v>1592</v>
      </c>
      <c r="C741" s="2017" t="s">
        <v>1642</v>
      </c>
      <c r="D741" s="2017" t="s">
        <v>1650</v>
      </c>
      <c r="E741" s="2017" t="s">
        <v>1609</v>
      </c>
      <c r="F741" s="2017" t="s">
        <v>1610</v>
      </c>
      <c r="G741" s="2018">
        <v>37435730</v>
      </c>
      <c r="H741" s="2024"/>
    </row>
    <row r="742" spans="1:8" ht="15.75" customHeight="1" x14ac:dyDescent="0.25">
      <c r="A742" s="2017" t="s">
        <v>1817</v>
      </c>
      <c r="B742" s="2017" t="s">
        <v>1592</v>
      </c>
      <c r="C742" s="2017" t="s">
        <v>1642</v>
      </c>
      <c r="D742" s="2017" t="s">
        <v>1650</v>
      </c>
      <c r="E742" s="2017" t="s">
        <v>1609</v>
      </c>
      <c r="F742" s="2017" t="s">
        <v>1611</v>
      </c>
      <c r="G742" s="2018">
        <v>15100000</v>
      </c>
      <c r="H742" s="2024"/>
    </row>
    <row r="743" spans="1:8" ht="15.75" customHeight="1" x14ac:dyDescent="0.25">
      <c r="A743" s="2017" t="s">
        <v>1817</v>
      </c>
      <c r="B743" s="2017" t="s">
        <v>1592</v>
      </c>
      <c r="C743" s="2017" t="s">
        <v>1642</v>
      </c>
      <c r="D743" s="2017" t="s">
        <v>1650</v>
      </c>
      <c r="E743" s="2017" t="s">
        <v>1609</v>
      </c>
      <c r="F743" s="2017" t="s">
        <v>1828</v>
      </c>
      <c r="G743" s="2018">
        <v>148315500</v>
      </c>
      <c r="H743" s="2024"/>
    </row>
    <row r="744" spans="1:8" ht="15.75" customHeight="1" x14ac:dyDescent="0.25">
      <c r="A744" s="2017" t="s">
        <v>1817</v>
      </c>
      <c r="B744" s="2017" t="s">
        <v>1592</v>
      </c>
      <c r="C744" s="2017" t="s">
        <v>1642</v>
      </c>
      <c r="D744" s="2017" t="s">
        <v>1650</v>
      </c>
      <c r="E744" s="2017" t="s">
        <v>1609</v>
      </c>
      <c r="F744" s="2017" t="s">
        <v>1612</v>
      </c>
      <c r="G744" s="2018">
        <v>554472746</v>
      </c>
      <c r="H744" s="2024"/>
    </row>
    <row r="745" spans="1:8" ht="15.75" customHeight="1" x14ac:dyDescent="0.25">
      <c r="A745" s="2017" t="s">
        <v>1817</v>
      </c>
      <c r="B745" s="2017" t="s">
        <v>1592</v>
      </c>
      <c r="C745" s="2017" t="s">
        <v>1642</v>
      </c>
      <c r="D745" s="2017" t="s">
        <v>1650</v>
      </c>
      <c r="E745" s="2017" t="s">
        <v>1660</v>
      </c>
      <c r="F745" s="2017" t="s">
        <v>1646</v>
      </c>
      <c r="G745" s="2018">
        <v>742838000</v>
      </c>
      <c r="H745" s="2024"/>
    </row>
    <row r="746" spans="1:8" ht="15.75" customHeight="1" x14ac:dyDescent="0.25">
      <c r="A746" s="2017" t="s">
        <v>1817</v>
      </c>
      <c r="B746" s="2017" t="s">
        <v>1592</v>
      </c>
      <c r="C746" s="2017" t="s">
        <v>1642</v>
      </c>
      <c r="D746" s="2017" t="s">
        <v>1650</v>
      </c>
      <c r="E746" s="2017" t="s">
        <v>1660</v>
      </c>
      <c r="F746" s="2017" t="s">
        <v>1756</v>
      </c>
      <c r="G746" s="2018">
        <v>27088000</v>
      </c>
      <c r="H746" s="2024"/>
    </row>
    <row r="747" spans="1:8" ht="15.75" customHeight="1" x14ac:dyDescent="0.25">
      <c r="A747" s="2017" t="s">
        <v>1817</v>
      </c>
      <c r="B747" s="2017" t="s">
        <v>1592</v>
      </c>
      <c r="C747" s="2017" t="s">
        <v>1642</v>
      </c>
      <c r="D747" s="2017" t="s">
        <v>1650</v>
      </c>
      <c r="E747" s="2017" t="s">
        <v>1660</v>
      </c>
      <c r="F747" s="2017" t="s">
        <v>1661</v>
      </c>
      <c r="G747" s="2018">
        <v>179850000</v>
      </c>
      <c r="H747" s="2024"/>
    </row>
    <row r="748" spans="1:8" ht="15.75" customHeight="1" x14ac:dyDescent="0.25">
      <c r="A748" s="2017" t="s">
        <v>1817</v>
      </c>
      <c r="B748" s="2017" t="s">
        <v>1592</v>
      </c>
      <c r="C748" s="2017" t="s">
        <v>1642</v>
      </c>
      <c r="D748" s="2017" t="s">
        <v>1650</v>
      </c>
      <c r="E748" s="2017" t="s">
        <v>1660</v>
      </c>
      <c r="F748" s="2017" t="s">
        <v>1662</v>
      </c>
      <c r="G748" s="2018">
        <v>316936000</v>
      </c>
      <c r="H748" s="2024"/>
    </row>
    <row r="749" spans="1:8" ht="15.75" customHeight="1" x14ac:dyDescent="0.25">
      <c r="A749" s="2017" t="s">
        <v>1817</v>
      </c>
      <c r="B749" s="2017" t="s">
        <v>1592</v>
      </c>
      <c r="C749" s="2017" t="s">
        <v>1642</v>
      </c>
      <c r="D749" s="2017" t="s">
        <v>1650</v>
      </c>
      <c r="E749" s="2017" t="s">
        <v>1660</v>
      </c>
      <c r="F749" s="2017" t="s">
        <v>1768</v>
      </c>
      <c r="G749" s="2018">
        <v>114700000</v>
      </c>
      <c r="H749" s="2024"/>
    </row>
    <row r="750" spans="1:8" ht="15.75" customHeight="1" x14ac:dyDescent="0.25">
      <c r="A750" s="2017" t="s">
        <v>1817</v>
      </c>
      <c r="B750" s="2017" t="s">
        <v>1592</v>
      </c>
      <c r="C750" s="2017" t="s">
        <v>1642</v>
      </c>
      <c r="D750" s="2017" t="s">
        <v>1650</v>
      </c>
      <c r="E750" s="2017" t="s">
        <v>1660</v>
      </c>
      <c r="F750" s="2017" t="s">
        <v>1843</v>
      </c>
      <c r="G750" s="2018">
        <v>104264000</v>
      </c>
      <c r="H750" s="2024"/>
    </row>
    <row r="751" spans="1:8" ht="15.75" customHeight="1" x14ac:dyDescent="0.25">
      <c r="A751" s="2017" t="s">
        <v>1817</v>
      </c>
      <c r="B751" s="2017" t="s">
        <v>1592</v>
      </c>
      <c r="C751" s="2017" t="s">
        <v>1642</v>
      </c>
      <c r="D751" s="2017" t="s">
        <v>1650</v>
      </c>
      <c r="E751" s="2017" t="s">
        <v>1654</v>
      </c>
      <c r="F751" s="2017" t="s">
        <v>1646</v>
      </c>
      <c r="G751" s="2018">
        <v>2050945100</v>
      </c>
      <c r="H751" s="2024"/>
    </row>
    <row r="752" spans="1:8" ht="15.75" customHeight="1" x14ac:dyDescent="0.25">
      <c r="A752" s="2017" t="s">
        <v>1817</v>
      </c>
      <c r="B752" s="2017" t="s">
        <v>1592</v>
      </c>
      <c r="C752" s="2017" t="s">
        <v>1642</v>
      </c>
      <c r="D752" s="2017" t="s">
        <v>1650</v>
      </c>
      <c r="E752" s="2017" t="s">
        <v>1654</v>
      </c>
      <c r="F752" s="2017" t="s">
        <v>1663</v>
      </c>
      <c r="G752" s="2018">
        <v>245364000</v>
      </c>
      <c r="H752" s="2024"/>
    </row>
    <row r="753" spans="1:8" ht="15.75" customHeight="1" x14ac:dyDescent="0.25">
      <c r="A753" s="2017" t="s">
        <v>1817</v>
      </c>
      <c r="B753" s="2017" t="s">
        <v>1592</v>
      </c>
      <c r="C753" s="2017" t="s">
        <v>1642</v>
      </c>
      <c r="D753" s="2017" t="s">
        <v>1650</v>
      </c>
      <c r="E753" s="2017" t="s">
        <v>1654</v>
      </c>
      <c r="F753" s="2017" t="s">
        <v>1829</v>
      </c>
      <c r="G753" s="2018">
        <v>49500000</v>
      </c>
      <c r="H753" s="2024"/>
    </row>
    <row r="754" spans="1:8" ht="15.75" customHeight="1" x14ac:dyDescent="0.25">
      <c r="A754" s="2017" t="s">
        <v>1817</v>
      </c>
      <c r="B754" s="2017" t="s">
        <v>1592</v>
      </c>
      <c r="C754" s="2017" t="s">
        <v>1642</v>
      </c>
      <c r="D754" s="2017" t="s">
        <v>1650</v>
      </c>
      <c r="E754" s="2017" t="s">
        <v>1654</v>
      </c>
      <c r="F754" s="2017" t="s">
        <v>1771</v>
      </c>
      <c r="G754" s="2018">
        <v>1099000000</v>
      </c>
      <c r="H754" s="2024"/>
    </row>
    <row r="755" spans="1:8" ht="15.75" customHeight="1" x14ac:dyDescent="0.25">
      <c r="A755" s="2017" t="s">
        <v>1817</v>
      </c>
      <c r="B755" s="2017" t="s">
        <v>1592</v>
      </c>
      <c r="C755" s="2017" t="s">
        <v>1642</v>
      </c>
      <c r="D755" s="2017" t="s">
        <v>1650</v>
      </c>
      <c r="E755" s="2017" t="s">
        <v>1654</v>
      </c>
      <c r="F755" s="2017" t="s">
        <v>1757</v>
      </c>
      <c r="G755" s="2018">
        <v>113000000</v>
      </c>
      <c r="H755" s="2024"/>
    </row>
    <row r="756" spans="1:8" ht="15.75" customHeight="1" x14ac:dyDescent="0.25">
      <c r="A756" s="2017" t="s">
        <v>1817</v>
      </c>
      <c r="B756" s="2017" t="s">
        <v>1592</v>
      </c>
      <c r="C756" s="2017" t="s">
        <v>1642</v>
      </c>
      <c r="D756" s="2017" t="s">
        <v>1650</v>
      </c>
      <c r="E756" s="2017" t="s">
        <v>1654</v>
      </c>
      <c r="F756" s="2017" t="s">
        <v>1655</v>
      </c>
      <c r="G756" s="2018">
        <v>544081100</v>
      </c>
      <c r="H756" s="2024"/>
    </row>
    <row r="757" spans="1:8" ht="15.75" customHeight="1" x14ac:dyDescent="0.25">
      <c r="A757" s="2017" t="s">
        <v>1817</v>
      </c>
      <c r="B757" s="2017" t="s">
        <v>1592</v>
      </c>
      <c r="C757" s="2017" t="s">
        <v>1642</v>
      </c>
      <c r="D757" s="2017" t="s">
        <v>1650</v>
      </c>
      <c r="E757" s="2017" t="s">
        <v>1602</v>
      </c>
      <c r="F757" s="2017" t="s">
        <v>1646</v>
      </c>
      <c r="G757" s="2018">
        <v>3685025635</v>
      </c>
      <c r="H757" s="2024"/>
    </row>
    <row r="758" spans="1:8" ht="15.75" customHeight="1" x14ac:dyDescent="0.25">
      <c r="A758" s="2017" t="s">
        <v>1817</v>
      </c>
      <c r="B758" s="2017" t="s">
        <v>1592</v>
      </c>
      <c r="C758" s="2017" t="s">
        <v>1642</v>
      </c>
      <c r="D758" s="2017" t="s">
        <v>1650</v>
      </c>
      <c r="E758" s="2017" t="s">
        <v>1602</v>
      </c>
      <c r="F758" s="2017" t="s">
        <v>1790</v>
      </c>
      <c r="G758" s="2018">
        <v>104767780</v>
      </c>
      <c r="H758" s="2024"/>
    </row>
    <row r="759" spans="1:8" ht="15.75" customHeight="1" x14ac:dyDescent="0.25">
      <c r="A759" s="2017" t="s">
        <v>1817</v>
      </c>
      <c r="B759" s="2017" t="s">
        <v>1592</v>
      </c>
      <c r="C759" s="2017" t="s">
        <v>1642</v>
      </c>
      <c r="D759" s="2017" t="s">
        <v>1650</v>
      </c>
      <c r="E759" s="2017" t="s">
        <v>1602</v>
      </c>
      <c r="F759" s="2017" t="s">
        <v>1758</v>
      </c>
      <c r="G759" s="2018">
        <v>503524355</v>
      </c>
      <c r="H759" s="2024"/>
    </row>
    <row r="760" spans="1:8" ht="15.75" customHeight="1" x14ac:dyDescent="0.25">
      <c r="A760" s="2017" t="s">
        <v>1817</v>
      </c>
      <c r="B760" s="2017" t="s">
        <v>1592</v>
      </c>
      <c r="C760" s="2017" t="s">
        <v>1642</v>
      </c>
      <c r="D760" s="2017" t="s">
        <v>1650</v>
      </c>
      <c r="E760" s="2017" t="s">
        <v>1602</v>
      </c>
      <c r="F760" s="2017" t="s">
        <v>1680</v>
      </c>
      <c r="G760" s="2018">
        <v>332774000</v>
      </c>
      <c r="H760" s="2024"/>
    </row>
    <row r="761" spans="1:8" ht="15.75" customHeight="1" x14ac:dyDescent="0.25">
      <c r="A761" s="2017" t="s">
        <v>1817</v>
      </c>
      <c r="B761" s="2017" t="s">
        <v>1592</v>
      </c>
      <c r="C761" s="2017" t="s">
        <v>1642</v>
      </c>
      <c r="D761" s="2017" t="s">
        <v>1650</v>
      </c>
      <c r="E761" s="2017" t="s">
        <v>1602</v>
      </c>
      <c r="F761" s="2017" t="s">
        <v>1759</v>
      </c>
      <c r="G761" s="2018">
        <v>124599500</v>
      </c>
      <c r="H761" s="2024"/>
    </row>
    <row r="762" spans="1:8" ht="15.75" customHeight="1" x14ac:dyDescent="0.25">
      <c r="A762" s="2017" t="s">
        <v>1817</v>
      </c>
      <c r="B762" s="2017" t="s">
        <v>1592</v>
      </c>
      <c r="C762" s="2017" t="s">
        <v>1642</v>
      </c>
      <c r="D762" s="2017" t="s">
        <v>1650</v>
      </c>
      <c r="E762" s="2017" t="s">
        <v>1602</v>
      </c>
      <c r="F762" s="2017" t="s">
        <v>1760</v>
      </c>
      <c r="G762" s="2018">
        <v>45100000</v>
      </c>
      <c r="H762" s="2024"/>
    </row>
    <row r="763" spans="1:8" ht="15.75" customHeight="1" x14ac:dyDescent="0.25">
      <c r="A763" s="2017" t="s">
        <v>1817</v>
      </c>
      <c r="B763" s="2017" t="s">
        <v>1592</v>
      </c>
      <c r="C763" s="2017" t="s">
        <v>1642</v>
      </c>
      <c r="D763" s="2017" t="s">
        <v>1650</v>
      </c>
      <c r="E763" s="2017" t="s">
        <v>1602</v>
      </c>
      <c r="F763" s="2017" t="s">
        <v>1761</v>
      </c>
      <c r="G763" s="2018">
        <v>2574260000</v>
      </c>
      <c r="H763" s="2024"/>
    </row>
    <row r="764" spans="1:8" ht="15.75" customHeight="1" x14ac:dyDescent="0.25">
      <c r="A764" s="2017" t="s">
        <v>1817</v>
      </c>
      <c r="B764" s="2017" t="s">
        <v>1592</v>
      </c>
      <c r="C764" s="2017" t="s">
        <v>1642</v>
      </c>
      <c r="D764" s="2017" t="s">
        <v>1650</v>
      </c>
      <c r="E764" s="2017" t="s">
        <v>1630</v>
      </c>
      <c r="F764" s="2017" t="s">
        <v>1646</v>
      </c>
      <c r="G764" s="2018">
        <v>512168000</v>
      </c>
      <c r="H764" s="2024"/>
    </row>
    <row r="765" spans="1:8" ht="15.75" customHeight="1" x14ac:dyDescent="0.25">
      <c r="A765" s="2017" t="s">
        <v>1817</v>
      </c>
      <c r="B765" s="2017" t="s">
        <v>1592</v>
      </c>
      <c r="C765" s="2017" t="s">
        <v>1642</v>
      </c>
      <c r="D765" s="2017" t="s">
        <v>1650</v>
      </c>
      <c r="E765" s="2017" t="s">
        <v>1630</v>
      </c>
      <c r="F765" s="2017" t="s">
        <v>1769</v>
      </c>
      <c r="G765" s="2018">
        <v>299288000</v>
      </c>
      <c r="H765" s="2024"/>
    </row>
    <row r="766" spans="1:8" ht="15.75" customHeight="1" x14ac:dyDescent="0.25">
      <c r="A766" s="2017" t="s">
        <v>1817</v>
      </c>
      <c r="B766" s="2017" t="s">
        <v>1592</v>
      </c>
      <c r="C766" s="2017" t="s">
        <v>1642</v>
      </c>
      <c r="D766" s="2017" t="s">
        <v>1650</v>
      </c>
      <c r="E766" s="2017" t="s">
        <v>1630</v>
      </c>
      <c r="F766" s="2017" t="s">
        <v>1631</v>
      </c>
      <c r="G766" s="2018">
        <v>114265000</v>
      </c>
      <c r="H766" s="2024"/>
    </row>
    <row r="767" spans="1:8" ht="15.75" customHeight="1" x14ac:dyDescent="0.25">
      <c r="A767" s="2017" t="s">
        <v>1817</v>
      </c>
      <c r="B767" s="2017" t="s">
        <v>1592</v>
      </c>
      <c r="C767" s="2017" t="s">
        <v>1642</v>
      </c>
      <c r="D767" s="2017" t="s">
        <v>1650</v>
      </c>
      <c r="E767" s="2017" t="s">
        <v>1630</v>
      </c>
      <c r="F767" s="2017" t="s">
        <v>1640</v>
      </c>
      <c r="G767" s="2018">
        <v>98615000</v>
      </c>
      <c r="H767" s="2024"/>
    </row>
    <row r="768" spans="1:8" ht="15.75" customHeight="1" x14ac:dyDescent="0.25">
      <c r="A768" s="2017" t="s">
        <v>1817</v>
      </c>
      <c r="B768" s="2017" t="s">
        <v>1592</v>
      </c>
      <c r="C768" s="2017" t="s">
        <v>1642</v>
      </c>
      <c r="D768" s="2017" t="s">
        <v>1650</v>
      </c>
      <c r="E768" s="2017" t="s">
        <v>1618</v>
      </c>
      <c r="F768" s="2017" t="s">
        <v>1646</v>
      </c>
      <c r="G768" s="2018">
        <v>4465187812</v>
      </c>
      <c r="H768" s="2024"/>
    </row>
    <row r="769" spans="1:8" ht="15.75" customHeight="1" x14ac:dyDescent="0.25">
      <c r="A769" s="2017" t="s">
        <v>1817</v>
      </c>
      <c r="B769" s="2017" t="s">
        <v>1592</v>
      </c>
      <c r="C769" s="2017" t="s">
        <v>1642</v>
      </c>
      <c r="D769" s="2017" t="s">
        <v>1650</v>
      </c>
      <c r="E769" s="2017" t="s">
        <v>1618</v>
      </c>
      <c r="F769" s="2017" t="s">
        <v>1619</v>
      </c>
      <c r="G769" s="2018">
        <v>168335974</v>
      </c>
      <c r="H769" s="2024"/>
    </row>
    <row r="770" spans="1:8" ht="15.75" customHeight="1" x14ac:dyDescent="0.25">
      <c r="A770" s="2017" t="s">
        <v>1817</v>
      </c>
      <c r="B770" s="2017" t="s">
        <v>1592</v>
      </c>
      <c r="C770" s="2017" t="s">
        <v>1642</v>
      </c>
      <c r="D770" s="2017" t="s">
        <v>1650</v>
      </c>
      <c r="E770" s="2017" t="s">
        <v>1618</v>
      </c>
      <c r="F770" s="2017" t="s">
        <v>1762</v>
      </c>
      <c r="G770" s="2018">
        <v>196128000</v>
      </c>
      <c r="H770" s="2024"/>
    </row>
    <row r="771" spans="1:8" ht="15.75" customHeight="1" x14ac:dyDescent="0.25">
      <c r="A771" s="2017" t="s">
        <v>1817</v>
      </c>
      <c r="B771" s="2017" t="s">
        <v>1592</v>
      </c>
      <c r="C771" s="2017" t="s">
        <v>1642</v>
      </c>
      <c r="D771" s="2017" t="s">
        <v>1650</v>
      </c>
      <c r="E771" s="2017" t="s">
        <v>1618</v>
      </c>
      <c r="F771" s="2017" t="s">
        <v>1716</v>
      </c>
      <c r="G771" s="2018">
        <v>122756000</v>
      </c>
      <c r="H771" s="2024"/>
    </row>
    <row r="772" spans="1:8" ht="15.75" customHeight="1" x14ac:dyDescent="0.25">
      <c r="A772" s="2017" t="s">
        <v>1817</v>
      </c>
      <c r="B772" s="2017" t="s">
        <v>1592</v>
      </c>
      <c r="C772" s="2017" t="s">
        <v>1642</v>
      </c>
      <c r="D772" s="2017" t="s">
        <v>1650</v>
      </c>
      <c r="E772" s="2017" t="s">
        <v>1618</v>
      </c>
      <c r="F772" s="2017" t="s">
        <v>1622</v>
      </c>
      <c r="G772" s="2018">
        <v>3977967838</v>
      </c>
      <c r="H772" s="2024"/>
    </row>
    <row r="773" spans="1:8" ht="15.75" customHeight="1" x14ac:dyDescent="0.25">
      <c r="A773" s="2017" t="s">
        <v>1817</v>
      </c>
      <c r="B773" s="2017" t="s">
        <v>1592</v>
      </c>
      <c r="C773" s="2017" t="s">
        <v>1642</v>
      </c>
      <c r="D773" s="2017" t="s">
        <v>1650</v>
      </c>
      <c r="E773" s="2017" t="s">
        <v>1791</v>
      </c>
      <c r="F773" s="2017" t="s">
        <v>1646</v>
      </c>
      <c r="G773" s="2018">
        <v>44000000</v>
      </c>
      <c r="H773" s="2024"/>
    </row>
    <row r="774" spans="1:8" ht="15.75" customHeight="1" x14ac:dyDescent="0.25">
      <c r="A774" s="2017" t="s">
        <v>1817</v>
      </c>
      <c r="B774" s="2017" t="s">
        <v>1592</v>
      </c>
      <c r="C774" s="2017" t="s">
        <v>1642</v>
      </c>
      <c r="D774" s="2017" t="s">
        <v>1650</v>
      </c>
      <c r="E774" s="2017" t="s">
        <v>1791</v>
      </c>
      <c r="F774" s="2017" t="s">
        <v>1792</v>
      </c>
      <c r="G774" s="2018">
        <v>44000000</v>
      </c>
      <c r="H774" s="2024"/>
    </row>
    <row r="775" spans="1:8" ht="15.75" customHeight="1" x14ac:dyDescent="0.25">
      <c r="A775" s="2017" t="s">
        <v>1817</v>
      </c>
      <c r="B775" s="2017" t="s">
        <v>1592</v>
      </c>
      <c r="C775" s="2017" t="s">
        <v>1642</v>
      </c>
      <c r="D775" s="2017" t="s">
        <v>1650</v>
      </c>
      <c r="E775" s="2017" t="s">
        <v>1613</v>
      </c>
      <c r="F775" s="2017" t="s">
        <v>1646</v>
      </c>
      <c r="G775" s="2018">
        <v>140000000</v>
      </c>
      <c r="H775" s="2024"/>
    </row>
    <row r="776" spans="1:8" ht="15.75" customHeight="1" x14ac:dyDescent="0.25">
      <c r="A776" s="2017" t="s">
        <v>1817</v>
      </c>
      <c r="B776" s="2017" t="s">
        <v>1592</v>
      </c>
      <c r="C776" s="2017" t="s">
        <v>1642</v>
      </c>
      <c r="D776" s="2017" t="s">
        <v>1650</v>
      </c>
      <c r="E776" s="2017" t="s">
        <v>1613</v>
      </c>
      <c r="F776" s="2017" t="s">
        <v>1614</v>
      </c>
      <c r="G776" s="2018">
        <v>140000000</v>
      </c>
      <c r="H776" s="2024"/>
    </row>
    <row r="777" spans="1:8" ht="15.75" customHeight="1" x14ac:dyDescent="0.25">
      <c r="A777" s="2017" t="s">
        <v>1817</v>
      </c>
      <c r="B777" s="2017" t="s">
        <v>1592</v>
      </c>
      <c r="C777" s="2017" t="s">
        <v>1642</v>
      </c>
      <c r="D777" s="2017" t="s">
        <v>1650</v>
      </c>
      <c r="E777" s="2017" t="s">
        <v>1824</v>
      </c>
      <c r="F777" s="2017" t="s">
        <v>1646</v>
      </c>
      <c r="G777" s="2018">
        <v>90000000</v>
      </c>
      <c r="H777" s="2024"/>
    </row>
    <row r="778" spans="1:8" ht="15.75" customHeight="1" x14ac:dyDescent="0.25">
      <c r="A778" s="2017" t="s">
        <v>1817</v>
      </c>
      <c r="B778" s="2017" t="s">
        <v>1592</v>
      </c>
      <c r="C778" s="2017" t="s">
        <v>1642</v>
      </c>
      <c r="D778" s="2017" t="s">
        <v>1650</v>
      </c>
      <c r="E778" s="2017" t="s">
        <v>1824</v>
      </c>
      <c r="F778" s="2017" t="s">
        <v>1844</v>
      </c>
      <c r="G778" s="2018">
        <v>90000000</v>
      </c>
      <c r="H778" s="2024"/>
    </row>
    <row r="779" spans="1:8" ht="15.75" customHeight="1" x14ac:dyDescent="0.25">
      <c r="A779" s="2017" t="s">
        <v>1817</v>
      </c>
      <c r="B779" s="2017" t="s">
        <v>1592</v>
      </c>
      <c r="C779" s="2017" t="s">
        <v>1642</v>
      </c>
      <c r="D779" s="2017" t="s">
        <v>1650</v>
      </c>
      <c r="E779" s="2017" t="s">
        <v>1615</v>
      </c>
      <c r="F779" s="2017" t="s">
        <v>1646</v>
      </c>
      <c r="G779" s="2018">
        <v>3374918588</v>
      </c>
      <c r="H779" s="2024"/>
    </row>
    <row r="780" spans="1:8" ht="15.75" customHeight="1" x14ac:dyDescent="0.25">
      <c r="A780" s="2017" t="s">
        <v>1817</v>
      </c>
      <c r="B780" s="2017" t="s">
        <v>1592</v>
      </c>
      <c r="C780" s="2017" t="s">
        <v>1642</v>
      </c>
      <c r="D780" s="2017" t="s">
        <v>1650</v>
      </c>
      <c r="E780" s="2017" t="s">
        <v>1615</v>
      </c>
      <c r="F780" s="2017" t="s">
        <v>1635</v>
      </c>
      <c r="G780" s="2018">
        <v>7032000</v>
      </c>
      <c r="H780" s="2024"/>
    </row>
    <row r="781" spans="1:8" ht="15.75" customHeight="1" x14ac:dyDescent="0.25">
      <c r="A781" s="2017" t="s">
        <v>1817</v>
      </c>
      <c r="B781" s="2017" t="s">
        <v>1592</v>
      </c>
      <c r="C781" s="2017" t="s">
        <v>1642</v>
      </c>
      <c r="D781" s="2017" t="s">
        <v>1650</v>
      </c>
      <c r="E781" s="2017" t="s">
        <v>1615</v>
      </c>
      <c r="F781" s="2017" t="s">
        <v>1794</v>
      </c>
      <c r="G781" s="2018">
        <v>61816646</v>
      </c>
      <c r="H781" s="2024"/>
    </row>
    <row r="782" spans="1:8" ht="15.75" customHeight="1" x14ac:dyDescent="0.25">
      <c r="A782" s="2017" t="s">
        <v>1817</v>
      </c>
      <c r="B782" s="2017" t="s">
        <v>1592</v>
      </c>
      <c r="C782" s="2017" t="s">
        <v>1642</v>
      </c>
      <c r="D782" s="2017" t="s">
        <v>1650</v>
      </c>
      <c r="E782" s="2017" t="s">
        <v>1615</v>
      </c>
      <c r="F782" s="2017" t="s">
        <v>1763</v>
      </c>
      <c r="G782" s="2018">
        <v>1807803478</v>
      </c>
      <c r="H782" s="2024"/>
    </row>
    <row r="783" spans="1:8" ht="15.75" customHeight="1" x14ac:dyDescent="0.25">
      <c r="A783" s="2017" t="s">
        <v>1817</v>
      </c>
      <c r="B783" s="2017" t="s">
        <v>1592</v>
      </c>
      <c r="C783" s="2017" t="s">
        <v>1642</v>
      </c>
      <c r="D783" s="2017" t="s">
        <v>1650</v>
      </c>
      <c r="E783" s="2017" t="s">
        <v>1615</v>
      </c>
      <c r="F783" s="2017" t="s">
        <v>1616</v>
      </c>
      <c r="G783" s="2018">
        <v>1498266464</v>
      </c>
      <c r="H783" s="2024"/>
    </row>
    <row r="784" spans="1:8" ht="15.75" customHeight="1" x14ac:dyDescent="0.25">
      <c r="A784" s="2017" t="s">
        <v>1817</v>
      </c>
      <c r="B784" s="2017" t="s">
        <v>1592</v>
      </c>
      <c r="C784" s="2017" t="s">
        <v>1642</v>
      </c>
      <c r="D784" s="2017" t="s">
        <v>1650</v>
      </c>
      <c r="E784" s="2017" t="s">
        <v>1801</v>
      </c>
      <c r="F784" s="2017" t="s">
        <v>1646</v>
      </c>
      <c r="G784" s="2018">
        <v>216507050</v>
      </c>
      <c r="H784" s="2024"/>
    </row>
    <row r="785" spans="1:8" ht="15.75" customHeight="1" x14ac:dyDescent="0.25">
      <c r="A785" s="2017" t="s">
        <v>1817</v>
      </c>
      <c r="B785" s="2017" t="s">
        <v>1592</v>
      </c>
      <c r="C785" s="2017" t="s">
        <v>1642</v>
      </c>
      <c r="D785" s="2017" t="s">
        <v>1650</v>
      </c>
      <c r="E785" s="2017" t="s">
        <v>1801</v>
      </c>
      <c r="F785" s="2017" t="s">
        <v>1802</v>
      </c>
      <c r="G785" s="2018">
        <v>3822400</v>
      </c>
      <c r="H785" s="2024"/>
    </row>
    <row r="786" spans="1:8" ht="15.75" customHeight="1" x14ac:dyDescent="0.25">
      <c r="A786" s="2017" t="s">
        <v>1817</v>
      </c>
      <c r="B786" s="2017" t="s">
        <v>1592</v>
      </c>
      <c r="C786" s="2017" t="s">
        <v>1642</v>
      </c>
      <c r="D786" s="2017" t="s">
        <v>1650</v>
      </c>
      <c r="E786" s="2017" t="s">
        <v>1801</v>
      </c>
      <c r="F786" s="2017" t="s">
        <v>1803</v>
      </c>
      <c r="G786" s="2018">
        <v>169886650</v>
      </c>
      <c r="H786" s="2024"/>
    </row>
    <row r="787" spans="1:8" ht="15.75" customHeight="1" x14ac:dyDescent="0.25">
      <c r="A787" s="2017" t="s">
        <v>1817</v>
      </c>
      <c r="B787" s="2017" t="s">
        <v>1592</v>
      </c>
      <c r="C787" s="2017" t="s">
        <v>1642</v>
      </c>
      <c r="D787" s="2017" t="s">
        <v>1650</v>
      </c>
      <c r="E787" s="2017" t="s">
        <v>1801</v>
      </c>
      <c r="F787" s="2017" t="s">
        <v>1804</v>
      </c>
      <c r="G787" s="2018">
        <v>42798000</v>
      </c>
      <c r="H787" s="2024"/>
    </row>
    <row r="788" spans="1:8" ht="15.75" customHeight="1" x14ac:dyDescent="0.25">
      <c r="A788" s="2017" t="s">
        <v>1817</v>
      </c>
      <c r="B788" s="2017" t="s">
        <v>1592</v>
      </c>
      <c r="C788" s="2017" t="s">
        <v>1642</v>
      </c>
      <c r="D788" s="2017" t="s">
        <v>1650</v>
      </c>
      <c r="E788" s="2017" t="s">
        <v>1795</v>
      </c>
      <c r="F788" s="2017" t="s">
        <v>1646</v>
      </c>
      <c r="G788" s="2018">
        <v>51076935202</v>
      </c>
      <c r="H788" s="2024"/>
    </row>
    <row r="789" spans="1:8" ht="15.75" customHeight="1" x14ac:dyDescent="0.25">
      <c r="A789" s="2017" t="s">
        <v>1817</v>
      </c>
      <c r="B789" s="2017" t="s">
        <v>1592</v>
      </c>
      <c r="C789" s="2017" t="s">
        <v>1642</v>
      </c>
      <c r="D789" s="2017" t="s">
        <v>1650</v>
      </c>
      <c r="E789" s="2017" t="s">
        <v>1795</v>
      </c>
      <c r="F789" s="2017" t="s">
        <v>1796</v>
      </c>
      <c r="G789" s="2018">
        <v>50753342202</v>
      </c>
      <c r="H789" s="2024"/>
    </row>
    <row r="790" spans="1:8" ht="15.75" customHeight="1" x14ac:dyDescent="0.25">
      <c r="A790" s="2017" t="s">
        <v>1817</v>
      </c>
      <c r="B790" s="2017" t="s">
        <v>1592</v>
      </c>
      <c r="C790" s="2017" t="s">
        <v>1642</v>
      </c>
      <c r="D790" s="2017" t="s">
        <v>1650</v>
      </c>
      <c r="E790" s="2017" t="s">
        <v>1795</v>
      </c>
      <c r="F790" s="2017" t="s">
        <v>1797</v>
      </c>
      <c r="G790" s="2018">
        <v>323593000</v>
      </c>
      <c r="H790" s="2024"/>
    </row>
    <row r="791" spans="1:8" ht="15.75" customHeight="1" x14ac:dyDescent="0.25">
      <c r="A791" s="2017" t="s">
        <v>1817</v>
      </c>
      <c r="B791" s="2017" t="s">
        <v>1592</v>
      </c>
      <c r="C791" s="2017" t="s">
        <v>1642</v>
      </c>
      <c r="D791" s="2017" t="s">
        <v>1650</v>
      </c>
      <c r="E791" s="2017" t="s">
        <v>1627</v>
      </c>
      <c r="F791" s="2017" t="s">
        <v>1646</v>
      </c>
      <c r="G791" s="2018">
        <v>81536000</v>
      </c>
      <c r="H791" s="2024"/>
    </row>
    <row r="792" spans="1:8" ht="15.75" customHeight="1" x14ac:dyDescent="0.25">
      <c r="A792" s="2017" t="s">
        <v>1817</v>
      </c>
      <c r="B792" s="2017" t="s">
        <v>1592</v>
      </c>
      <c r="C792" s="2017" t="s">
        <v>1642</v>
      </c>
      <c r="D792" s="2017" t="s">
        <v>1650</v>
      </c>
      <c r="E792" s="2017" t="s">
        <v>1627</v>
      </c>
      <c r="F792" s="2017" t="s">
        <v>1628</v>
      </c>
      <c r="G792" s="2018">
        <v>81536000</v>
      </c>
      <c r="H792" s="2024"/>
    </row>
    <row r="793" spans="1:8" ht="15.75" customHeight="1" x14ac:dyDescent="0.25">
      <c r="A793" s="2017" t="s">
        <v>1817</v>
      </c>
      <c r="B793" s="2017" t="s">
        <v>1592</v>
      </c>
      <c r="C793" s="2017" t="s">
        <v>1642</v>
      </c>
      <c r="D793" s="2017" t="s">
        <v>1798</v>
      </c>
      <c r="E793" s="2017" t="s">
        <v>1646</v>
      </c>
      <c r="F793" s="2017" t="s">
        <v>1646</v>
      </c>
      <c r="G793" s="2018">
        <v>18445646341</v>
      </c>
      <c r="H793" s="2024"/>
    </row>
    <row r="794" spans="1:8" ht="15.75" customHeight="1" x14ac:dyDescent="0.25">
      <c r="A794" s="2017" t="s">
        <v>1817</v>
      </c>
      <c r="B794" s="2017" t="s">
        <v>1592</v>
      </c>
      <c r="C794" s="2017" t="s">
        <v>1642</v>
      </c>
      <c r="D794" s="2017" t="s">
        <v>1798</v>
      </c>
      <c r="E794" s="2017" t="s">
        <v>1730</v>
      </c>
      <c r="F794" s="2017" t="s">
        <v>1646</v>
      </c>
      <c r="G794" s="2018">
        <v>2994310800</v>
      </c>
      <c r="H794" s="2024"/>
    </row>
    <row r="795" spans="1:8" ht="15.75" customHeight="1" x14ac:dyDescent="0.25">
      <c r="A795" s="2017" t="s">
        <v>1817</v>
      </c>
      <c r="B795" s="2017" t="s">
        <v>1592</v>
      </c>
      <c r="C795" s="2017" t="s">
        <v>1642</v>
      </c>
      <c r="D795" s="2017" t="s">
        <v>1798</v>
      </c>
      <c r="E795" s="2017" t="s">
        <v>1730</v>
      </c>
      <c r="F795" s="2017" t="s">
        <v>1731</v>
      </c>
      <c r="G795" s="2018">
        <v>2994310800</v>
      </c>
      <c r="H795" s="2024"/>
    </row>
    <row r="796" spans="1:8" ht="15.75" customHeight="1" x14ac:dyDescent="0.25">
      <c r="A796" s="2017" t="s">
        <v>1817</v>
      </c>
      <c r="B796" s="2017" t="s">
        <v>1592</v>
      </c>
      <c r="C796" s="2017" t="s">
        <v>1642</v>
      </c>
      <c r="D796" s="2017" t="s">
        <v>1798</v>
      </c>
      <c r="E796" s="2017" t="s">
        <v>1732</v>
      </c>
      <c r="F796" s="2017" t="s">
        <v>1646</v>
      </c>
      <c r="G796" s="2018">
        <v>234046800</v>
      </c>
      <c r="H796" s="2024"/>
    </row>
    <row r="797" spans="1:8" ht="15.75" customHeight="1" x14ac:dyDescent="0.25">
      <c r="A797" s="2017" t="s">
        <v>1817</v>
      </c>
      <c r="B797" s="2017" t="s">
        <v>1592</v>
      </c>
      <c r="C797" s="2017" t="s">
        <v>1642</v>
      </c>
      <c r="D797" s="2017" t="s">
        <v>1798</v>
      </c>
      <c r="E797" s="2017" t="s">
        <v>1732</v>
      </c>
      <c r="F797" s="2017" t="s">
        <v>1733</v>
      </c>
      <c r="G797" s="2018">
        <v>234046800</v>
      </c>
      <c r="H797" s="2024"/>
    </row>
    <row r="798" spans="1:8" ht="15.75" customHeight="1" x14ac:dyDescent="0.25">
      <c r="A798" s="2017" t="s">
        <v>1817</v>
      </c>
      <c r="B798" s="2017" t="s">
        <v>1592</v>
      </c>
      <c r="C798" s="2017" t="s">
        <v>1642</v>
      </c>
      <c r="D798" s="2017" t="s">
        <v>1798</v>
      </c>
      <c r="E798" s="2017" t="s">
        <v>1607</v>
      </c>
      <c r="F798" s="2017" t="s">
        <v>1646</v>
      </c>
      <c r="G798" s="2018">
        <v>2126654407</v>
      </c>
      <c r="H798" s="2024"/>
    </row>
    <row r="799" spans="1:8" ht="15.75" customHeight="1" x14ac:dyDescent="0.25">
      <c r="A799" s="2017" t="s">
        <v>1817</v>
      </c>
      <c r="B799" s="2017" t="s">
        <v>1592</v>
      </c>
      <c r="C799" s="2017" t="s">
        <v>1642</v>
      </c>
      <c r="D799" s="2017" t="s">
        <v>1798</v>
      </c>
      <c r="E799" s="2017" t="s">
        <v>1607</v>
      </c>
      <c r="F799" s="2017" t="s">
        <v>1734</v>
      </c>
      <c r="G799" s="2018">
        <v>153738000</v>
      </c>
      <c r="H799" s="2024"/>
    </row>
    <row r="800" spans="1:8" ht="15.75" customHeight="1" x14ac:dyDescent="0.25">
      <c r="A800" s="2017" t="s">
        <v>1817</v>
      </c>
      <c r="B800" s="2017" t="s">
        <v>1592</v>
      </c>
      <c r="C800" s="2017" t="s">
        <v>1642</v>
      </c>
      <c r="D800" s="2017" t="s">
        <v>1798</v>
      </c>
      <c r="E800" s="2017" t="s">
        <v>1607</v>
      </c>
      <c r="F800" s="2017" t="s">
        <v>1735</v>
      </c>
      <c r="G800" s="2018">
        <v>240084000</v>
      </c>
      <c r="H800" s="2024"/>
    </row>
    <row r="801" spans="1:8" ht="15.75" customHeight="1" x14ac:dyDescent="0.25">
      <c r="A801" s="2017" t="s">
        <v>1817</v>
      </c>
      <c r="B801" s="2017" t="s">
        <v>1592</v>
      </c>
      <c r="C801" s="2017" t="s">
        <v>1642</v>
      </c>
      <c r="D801" s="2017" t="s">
        <v>1798</v>
      </c>
      <c r="E801" s="2017" t="s">
        <v>1607</v>
      </c>
      <c r="F801" s="2017" t="s">
        <v>1608</v>
      </c>
      <c r="G801" s="2018">
        <v>8449527</v>
      </c>
      <c r="H801" s="2024"/>
    </row>
    <row r="802" spans="1:8" ht="15.75" customHeight="1" x14ac:dyDescent="0.25">
      <c r="A802" s="2017" t="s">
        <v>1817</v>
      </c>
      <c r="B802" s="2017" t="s">
        <v>1592</v>
      </c>
      <c r="C802" s="2017" t="s">
        <v>1642</v>
      </c>
      <c r="D802" s="2017" t="s">
        <v>1798</v>
      </c>
      <c r="E802" s="2017" t="s">
        <v>1607</v>
      </c>
      <c r="F802" s="2017" t="s">
        <v>1737</v>
      </c>
      <c r="G802" s="2018">
        <v>25798500</v>
      </c>
      <c r="H802" s="2024"/>
    </row>
    <row r="803" spans="1:8" ht="15.75" customHeight="1" x14ac:dyDescent="0.25">
      <c r="A803" s="2017" t="s">
        <v>1817</v>
      </c>
      <c r="B803" s="2017" t="s">
        <v>1592</v>
      </c>
      <c r="C803" s="2017" t="s">
        <v>1642</v>
      </c>
      <c r="D803" s="2017" t="s">
        <v>1798</v>
      </c>
      <c r="E803" s="2017" t="s">
        <v>1607</v>
      </c>
      <c r="F803" s="2017" t="s">
        <v>1726</v>
      </c>
      <c r="G803" s="2018">
        <v>43722260</v>
      </c>
      <c r="H803" s="2024"/>
    </row>
    <row r="804" spans="1:8" ht="15.75" customHeight="1" x14ac:dyDescent="0.25">
      <c r="A804" s="2017" t="s">
        <v>1817</v>
      </c>
      <c r="B804" s="2017" t="s">
        <v>1592</v>
      </c>
      <c r="C804" s="2017" t="s">
        <v>1642</v>
      </c>
      <c r="D804" s="2017" t="s">
        <v>1798</v>
      </c>
      <c r="E804" s="2017" t="s">
        <v>1607</v>
      </c>
      <c r="F804" s="2017" t="s">
        <v>1799</v>
      </c>
      <c r="G804" s="2018">
        <v>684744720</v>
      </c>
      <c r="H804" s="2024"/>
    </row>
    <row r="805" spans="1:8" ht="15.75" customHeight="1" x14ac:dyDescent="0.25">
      <c r="A805" s="2017" t="s">
        <v>1817</v>
      </c>
      <c r="B805" s="2017" t="s">
        <v>1592</v>
      </c>
      <c r="C805" s="2017" t="s">
        <v>1642</v>
      </c>
      <c r="D805" s="2017" t="s">
        <v>1798</v>
      </c>
      <c r="E805" s="2017" t="s">
        <v>1607</v>
      </c>
      <c r="F805" s="2017" t="s">
        <v>1781</v>
      </c>
      <c r="G805" s="2018">
        <v>834578900</v>
      </c>
      <c r="H805" s="2024"/>
    </row>
    <row r="806" spans="1:8" ht="15.75" customHeight="1" x14ac:dyDescent="0.25">
      <c r="A806" s="2017" t="s">
        <v>1817</v>
      </c>
      <c r="B806" s="2017" t="s">
        <v>1592</v>
      </c>
      <c r="C806" s="2017" t="s">
        <v>1642</v>
      </c>
      <c r="D806" s="2017" t="s">
        <v>1798</v>
      </c>
      <c r="E806" s="2017" t="s">
        <v>1607</v>
      </c>
      <c r="F806" s="2017" t="s">
        <v>1738</v>
      </c>
      <c r="G806" s="2018">
        <v>135538500</v>
      </c>
      <c r="H806" s="2024"/>
    </row>
    <row r="807" spans="1:8" ht="15.75" customHeight="1" x14ac:dyDescent="0.25">
      <c r="A807" s="2017" t="s">
        <v>1817</v>
      </c>
      <c r="B807" s="2017" t="s">
        <v>1592</v>
      </c>
      <c r="C807" s="2017" t="s">
        <v>1642</v>
      </c>
      <c r="D807" s="2017" t="s">
        <v>1798</v>
      </c>
      <c r="E807" s="2017" t="s">
        <v>1741</v>
      </c>
      <c r="F807" s="2017" t="s">
        <v>1646</v>
      </c>
      <c r="G807" s="2018">
        <v>351700000</v>
      </c>
      <c r="H807" s="2024"/>
    </row>
    <row r="808" spans="1:8" ht="15.75" customHeight="1" x14ac:dyDescent="0.25">
      <c r="A808" s="2017" t="s">
        <v>1817</v>
      </c>
      <c r="B808" s="2017" t="s">
        <v>1592</v>
      </c>
      <c r="C808" s="2017" t="s">
        <v>1642</v>
      </c>
      <c r="D808" s="2017" t="s">
        <v>1798</v>
      </c>
      <c r="E808" s="2017" t="s">
        <v>1741</v>
      </c>
      <c r="F808" s="2017" t="s">
        <v>1742</v>
      </c>
      <c r="G808" s="2018">
        <v>283000000</v>
      </c>
      <c r="H808" s="2024"/>
    </row>
    <row r="809" spans="1:8" ht="15.75" customHeight="1" x14ac:dyDescent="0.25">
      <c r="A809" s="2017" t="s">
        <v>1817</v>
      </c>
      <c r="B809" s="2017" t="s">
        <v>1592</v>
      </c>
      <c r="C809" s="2017" t="s">
        <v>1642</v>
      </c>
      <c r="D809" s="2017" t="s">
        <v>1798</v>
      </c>
      <c r="E809" s="2017" t="s">
        <v>1741</v>
      </c>
      <c r="F809" s="2017" t="s">
        <v>1782</v>
      </c>
      <c r="G809" s="2018">
        <v>30700000</v>
      </c>
      <c r="H809" s="2024"/>
    </row>
    <row r="810" spans="1:8" ht="15.75" customHeight="1" x14ac:dyDescent="0.25">
      <c r="A810" s="2017" t="s">
        <v>1817</v>
      </c>
      <c r="B810" s="2017" t="s">
        <v>1592</v>
      </c>
      <c r="C810" s="2017" t="s">
        <v>1642</v>
      </c>
      <c r="D810" s="2017" t="s">
        <v>1798</v>
      </c>
      <c r="E810" s="2017" t="s">
        <v>1741</v>
      </c>
      <c r="F810" s="2017" t="s">
        <v>1783</v>
      </c>
      <c r="G810" s="2018">
        <v>38000000</v>
      </c>
      <c r="H810" s="2024"/>
    </row>
    <row r="811" spans="1:8" ht="15.75" customHeight="1" x14ac:dyDescent="0.25">
      <c r="A811" s="2017" t="s">
        <v>1817</v>
      </c>
      <c r="B811" s="2017" t="s">
        <v>1592</v>
      </c>
      <c r="C811" s="2017" t="s">
        <v>1642</v>
      </c>
      <c r="D811" s="2017" t="s">
        <v>1798</v>
      </c>
      <c r="E811" s="2017" t="s">
        <v>1784</v>
      </c>
      <c r="F811" s="2017" t="s">
        <v>1646</v>
      </c>
      <c r="G811" s="2018">
        <v>121758880</v>
      </c>
      <c r="H811" s="2024"/>
    </row>
    <row r="812" spans="1:8" ht="15.75" customHeight="1" x14ac:dyDescent="0.25">
      <c r="A812" s="2017" t="s">
        <v>1817</v>
      </c>
      <c r="B812" s="2017" t="s">
        <v>1592</v>
      </c>
      <c r="C812" s="2017" t="s">
        <v>1642</v>
      </c>
      <c r="D812" s="2017" t="s">
        <v>1798</v>
      </c>
      <c r="E812" s="2017" t="s">
        <v>1784</v>
      </c>
      <c r="F812" s="2017" t="s">
        <v>1785</v>
      </c>
      <c r="G812" s="2018">
        <v>121758880</v>
      </c>
      <c r="H812" s="2024"/>
    </row>
    <row r="813" spans="1:8" ht="15.75" customHeight="1" x14ac:dyDescent="0.25">
      <c r="A813" s="2017" t="s">
        <v>1817</v>
      </c>
      <c r="B813" s="2017" t="s">
        <v>1592</v>
      </c>
      <c r="C813" s="2017" t="s">
        <v>1642</v>
      </c>
      <c r="D813" s="2017" t="s">
        <v>1798</v>
      </c>
      <c r="E813" s="2017" t="s">
        <v>1743</v>
      </c>
      <c r="F813" s="2017" t="s">
        <v>1646</v>
      </c>
      <c r="G813" s="2018">
        <v>862338620</v>
      </c>
      <c r="H813" s="2024"/>
    </row>
    <row r="814" spans="1:8" ht="15.75" customHeight="1" x14ac:dyDescent="0.25">
      <c r="A814" s="2017" t="s">
        <v>1817</v>
      </c>
      <c r="B814" s="2017" t="s">
        <v>1592</v>
      </c>
      <c r="C814" s="2017" t="s">
        <v>1642</v>
      </c>
      <c r="D814" s="2017" t="s">
        <v>1798</v>
      </c>
      <c r="E814" s="2017" t="s">
        <v>1743</v>
      </c>
      <c r="F814" s="2017" t="s">
        <v>1744</v>
      </c>
      <c r="G814" s="2018">
        <v>650030380</v>
      </c>
      <c r="H814" s="2024"/>
    </row>
    <row r="815" spans="1:8" ht="15.75" customHeight="1" x14ac:dyDescent="0.25">
      <c r="A815" s="2017" t="s">
        <v>1817</v>
      </c>
      <c r="B815" s="2017" t="s">
        <v>1592</v>
      </c>
      <c r="C815" s="2017" t="s">
        <v>1642</v>
      </c>
      <c r="D815" s="2017" t="s">
        <v>1798</v>
      </c>
      <c r="E815" s="2017" t="s">
        <v>1743</v>
      </c>
      <c r="F815" s="2017" t="s">
        <v>1745</v>
      </c>
      <c r="G815" s="2018">
        <v>160343828</v>
      </c>
      <c r="H815" s="2024"/>
    </row>
    <row r="816" spans="1:8" ht="15.75" customHeight="1" x14ac:dyDescent="0.25">
      <c r="A816" s="2017" t="s">
        <v>1817</v>
      </c>
      <c r="B816" s="2017" t="s">
        <v>1592</v>
      </c>
      <c r="C816" s="2017" t="s">
        <v>1642</v>
      </c>
      <c r="D816" s="2017" t="s">
        <v>1798</v>
      </c>
      <c r="E816" s="2017" t="s">
        <v>1743</v>
      </c>
      <c r="F816" s="2017" t="s">
        <v>1746</v>
      </c>
      <c r="G816" s="2018">
        <v>49546400</v>
      </c>
      <c r="H816" s="2024"/>
    </row>
    <row r="817" spans="1:8" ht="15.75" customHeight="1" x14ac:dyDescent="0.25">
      <c r="A817" s="2017" t="s">
        <v>1817</v>
      </c>
      <c r="B817" s="2017" t="s">
        <v>1592</v>
      </c>
      <c r="C817" s="2017" t="s">
        <v>1642</v>
      </c>
      <c r="D817" s="2017" t="s">
        <v>1798</v>
      </c>
      <c r="E817" s="2017" t="s">
        <v>1743</v>
      </c>
      <c r="F817" s="2017" t="s">
        <v>1747</v>
      </c>
      <c r="G817" s="2018">
        <v>2418012</v>
      </c>
      <c r="H817" s="2024"/>
    </row>
    <row r="818" spans="1:8" ht="15.75" customHeight="1" x14ac:dyDescent="0.25">
      <c r="A818" s="2017" t="s">
        <v>1817</v>
      </c>
      <c r="B818" s="2017" t="s">
        <v>1592</v>
      </c>
      <c r="C818" s="2017" t="s">
        <v>1642</v>
      </c>
      <c r="D818" s="2017" t="s">
        <v>1798</v>
      </c>
      <c r="E818" s="2017" t="s">
        <v>1727</v>
      </c>
      <c r="F818" s="2017" t="s">
        <v>1646</v>
      </c>
      <c r="G818" s="2018">
        <v>626750000</v>
      </c>
      <c r="H818" s="2024"/>
    </row>
    <row r="819" spans="1:8" ht="15.75" customHeight="1" x14ac:dyDescent="0.25">
      <c r="A819" s="2017" t="s">
        <v>1817</v>
      </c>
      <c r="B819" s="2017" t="s">
        <v>1592</v>
      </c>
      <c r="C819" s="2017" t="s">
        <v>1642</v>
      </c>
      <c r="D819" s="2017" t="s">
        <v>1798</v>
      </c>
      <c r="E819" s="2017" t="s">
        <v>1727</v>
      </c>
      <c r="F819" s="2017" t="s">
        <v>1786</v>
      </c>
      <c r="G819" s="2018">
        <v>262200000</v>
      </c>
      <c r="H819" s="2024"/>
    </row>
    <row r="820" spans="1:8" ht="15.75" customHeight="1" x14ac:dyDescent="0.25">
      <c r="A820" s="2017" t="s">
        <v>1817</v>
      </c>
      <c r="B820" s="2017" t="s">
        <v>1592</v>
      </c>
      <c r="C820" s="2017" t="s">
        <v>1642</v>
      </c>
      <c r="D820" s="2017" t="s">
        <v>1798</v>
      </c>
      <c r="E820" s="2017" t="s">
        <v>1727</v>
      </c>
      <c r="F820" s="2017" t="s">
        <v>1728</v>
      </c>
      <c r="G820" s="2018">
        <v>364550000</v>
      </c>
      <c r="H820" s="2024"/>
    </row>
    <row r="821" spans="1:8" ht="15.75" customHeight="1" x14ac:dyDescent="0.25">
      <c r="A821" s="2017" t="s">
        <v>1817</v>
      </c>
      <c r="B821" s="2017" t="s">
        <v>1592</v>
      </c>
      <c r="C821" s="2017" t="s">
        <v>1642</v>
      </c>
      <c r="D821" s="2017" t="s">
        <v>1798</v>
      </c>
      <c r="E821" s="2017" t="s">
        <v>1748</v>
      </c>
      <c r="F821" s="2017" t="s">
        <v>1646</v>
      </c>
      <c r="G821" s="2018">
        <v>1553632000</v>
      </c>
      <c r="H821" s="2024"/>
    </row>
    <row r="822" spans="1:8" ht="15.75" customHeight="1" x14ac:dyDescent="0.25">
      <c r="A822" s="2017" t="s">
        <v>1817</v>
      </c>
      <c r="B822" s="2017" t="s">
        <v>1592</v>
      </c>
      <c r="C822" s="2017" t="s">
        <v>1642</v>
      </c>
      <c r="D822" s="2017" t="s">
        <v>1798</v>
      </c>
      <c r="E822" s="2017" t="s">
        <v>1748</v>
      </c>
      <c r="F822" s="2017" t="s">
        <v>1767</v>
      </c>
      <c r="G822" s="2018">
        <v>241400000</v>
      </c>
      <c r="H822" s="2024"/>
    </row>
    <row r="823" spans="1:8" ht="15.75" customHeight="1" x14ac:dyDescent="0.25">
      <c r="A823" s="2017" t="s">
        <v>1817</v>
      </c>
      <c r="B823" s="2017" t="s">
        <v>1592</v>
      </c>
      <c r="C823" s="2017" t="s">
        <v>1642</v>
      </c>
      <c r="D823" s="2017" t="s">
        <v>1798</v>
      </c>
      <c r="E823" s="2017" t="s">
        <v>1748</v>
      </c>
      <c r="F823" s="2017" t="s">
        <v>1750</v>
      </c>
      <c r="G823" s="2018">
        <v>1312232000</v>
      </c>
      <c r="H823" s="2024"/>
    </row>
    <row r="824" spans="1:8" ht="15.75" customHeight="1" x14ac:dyDescent="0.25">
      <c r="A824" s="2017" t="s">
        <v>1817</v>
      </c>
      <c r="B824" s="2017" t="s">
        <v>1592</v>
      </c>
      <c r="C824" s="2017" t="s">
        <v>1642</v>
      </c>
      <c r="D824" s="2017" t="s">
        <v>1798</v>
      </c>
      <c r="E824" s="2017" t="s">
        <v>1751</v>
      </c>
      <c r="F824" s="2017" t="s">
        <v>1646</v>
      </c>
      <c r="G824" s="2018">
        <v>169000000</v>
      </c>
      <c r="H824" s="2024"/>
    </row>
    <row r="825" spans="1:8" ht="15.75" customHeight="1" x14ac:dyDescent="0.25">
      <c r="A825" s="2017" t="s">
        <v>1817</v>
      </c>
      <c r="B825" s="2017" t="s">
        <v>1592</v>
      </c>
      <c r="C825" s="2017" t="s">
        <v>1642</v>
      </c>
      <c r="D825" s="2017" t="s">
        <v>1798</v>
      </c>
      <c r="E825" s="2017" t="s">
        <v>1751</v>
      </c>
      <c r="F825" s="2017" t="s">
        <v>1752</v>
      </c>
      <c r="G825" s="2018">
        <v>72000000</v>
      </c>
      <c r="H825" s="2024"/>
    </row>
    <row r="826" spans="1:8" ht="15.75" customHeight="1" x14ac:dyDescent="0.25">
      <c r="A826" s="2017" t="s">
        <v>1817</v>
      </c>
      <c r="B826" s="2017" t="s">
        <v>1592</v>
      </c>
      <c r="C826" s="2017" t="s">
        <v>1642</v>
      </c>
      <c r="D826" s="2017" t="s">
        <v>1798</v>
      </c>
      <c r="E826" s="2017" t="s">
        <v>1751</v>
      </c>
      <c r="F826" s="2017" t="s">
        <v>1787</v>
      </c>
      <c r="G826" s="2018">
        <v>97000000</v>
      </c>
      <c r="H826" s="2024"/>
    </row>
    <row r="827" spans="1:8" ht="15.75" customHeight="1" x14ac:dyDescent="0.25">
      <c r="A827" s="2017" t="s">
        <v>1817</v>
      </c>
      <c r="B827" s="2017" t="s">
        <v>1592</v>
      </c>
      <c r="C827" s="2017" t="s">
        <v>1642</v>
      </c>
      <c r="D827" s="2017" t="s">
        <v>1798</v>
      </c>
      <c r="E827" s="2017" t="s">
        <v>1623</v>
      </c>
      <c r="F827" s="2017" t="s">
        <v>1646</v>
      </c>
      <c r="G827" s="2018">
        <v>200809560</v>
      </c>
      <c r="H827" s="2024"/>
    </row>
    <row r="828" spans="1:8" ht="15.75" customHeight="1" x14ac:dyDescent="0.25">
      <c r="A828" s="2017" t="s">
        <v>1817</v>
      </c>
      <c r="B828" s="2017" t="s">
        <v>1592</v>
      </c>
      <c r="C828" s="2017" t="s">
        <v>1642</v>
      </c>
      <c r="D828" s="2017" t="s">
        <v>1798</v>
      </c>
      <c r="E828" s="2017" t="s">
        <v>1623</v>
      </c>
      <c r="F828" s="2017" t="s">
        <v>1624</v>
      </c>
      <c r="G828" s="2018">
        <v>71114180</v>
      </c>
      <c r="H828" s="2024"/>
    </row>
    <row r="829" spans="1:8" ht="15.75" customHeight="1" x14ac:dyDescent="0.25">
      <c r="A829" s="2017" t="s">
        <v>1817</v>
      </c>
      <c r="B829" s="2017" t="s">
        <v>1592</v>
      </c>
      <c r="C829" s="2017" t="s">
        <v>1642</v>
      </c>
      <c r="D829" s="2017" t="s">
        <v>1798</v>
      </c>
      <c r="E829" s="2017" t="s">
        <v>1623</v>
      </c>
      <c r="F829" s="2017" t="s">
        <v>1639</v>
      </c>
      <c r="G829" s="2018">
        <v>50000000</v>
      </c>
      <c r="H829" s="2024"/>
    </row>
    <row r="830" spans="1:8" ht="15.75" customHeight="1" x14ac:dyDescent="0.25">
      <c r="A830" s="2017" t="s">
        <v>1817</v>
      </c>
      <c r="B830" s="2017" t="s">
        <v>1592</v>
      </c>
      <c r="C830" s="2017" t="s">
        <v>1642</v>
      </c>
      <c r="D830" s="2017" t="s">
        <v>1798</v>
      </c>
      <c r="E830" s="2017" t="s">
        <v>1623</v>
      </c>
      <c r="F830" s="2017" t="s">
        <v>1820</v>
      </c>
      <c r="G830" s="2018">
        <v>20000000</v>
      </c>
      <c r="H830" s="2024"/>
    </row>
    <row r="831" spans="1:8" ht="15.75" customHeight="1" x14ac:dyDescent="0.25">
      <c r="A831" s="2017" t="s">
        <v>1817</v>
      </c>
      <c r="B831" s="2017" t="s">
        <v>1592</v>
      </c>
      <c r="C831" s="2017" t="s">
        <v>1642</v>
      </c>
      <c r="D831" s="2017" t="s">
        <v>1798</v>
      </c>
      <c r="E831" s="2017" t="s">
        <v>1623</v>
      </c>
      <c r="F831" s="2017" t="s">
        <v>1634</v>
      </c>
      <c r="G831" s="2018">
        <v>59695380</v>
      </c>
      <c r="H831" s="2024"/>
    </row>
    <row r="832" spans="1:8" ht="15.75" customHeight="1" x14ac:dyDescent="0.25">
      <c r="A832" s="2017" t="s">
        <v>1817</v>
      </c>
      <c r="B832" s="2017" t="s">
        <v>1592</v>
      </c>
      <c r="C832" s="2017" t="s">
        <v>1642</v>
      </c>
      <c r="D832" s="2017" t="s">
        <v>1798</v>
      </c>
      <c r="E832" s="2017" t="s">
        <v>1652</v>
      </c>
      <c r="F832" s="2017" t="s">
        <v>1646</v>
      </c>
      <c r="G832" s="2018">
        <v>93832000</v>
      </c>
      <c r="H832" s="2024"/>
    </row>
    <row r="833" spans="1:8" ht="15.75" customHeight="1" x14ac:dyDescent="0.25">
      <c r="A833" s="2017" t="s">
        <v>1817</v>
      </c>
      <c r="B833" s="2017" t="s">
        <v>1592</v>
      </c>
      <c r="C833" s="2017" t="s">
        <v>1642</v>
      </c>
      <c r="D833" s="2017" t="s">
        <v>1798</v>
      </c>
      <c r="E833" s="2017" t="s">
        <v>1652</v>
      </c>
      <c r="F833" s="2017" t="s">
        <v>1754</v>
      </c>
      <c r="G833" s="2018">
        <v>132000</v>
      </c>
      <c r="H833" s="2024"/>
    </row>
    <row r="834" spans="1:8" ht="15.75" customHeight="1" x14ac:dyDescent="0.25">
      <c r="A834" s="2017" t="s">
        <v>1817</v>
      </c>
      <c r="B834" s="2017" t="s">
        <v>1592</v>
      </c>
      <c r="C834" s="2017" t="s">
        <v>1642</v>
      </c>
      <c r="D834" s="2017" t="s">
        <v>1798</v>
      </c>
      <c r="E834" s="2017" t="s">
        <v>1652</v>
      </c>
      <c r="F834" s="2017" t="s">
        <v>1788</v>
      </c>
      <c r="G834" s="2018">
        <v>32000000</v>
      </c>
      <c r="H834" s="2024"/>
    </row>
    <row r="835" spans="1:8" ht="15.75" customHeight="1" x14ac:dyDescent="0.25">
      <c r="A835" s="2017" t="s">
        <v>1817</v>
      </c>
      <c r="B835" s="2017" t="s">
        <v>1592</v>
      </c>
      <c r="C835" s="2017" t="s">
        <v>1642</v>
      </c>
      <c r="D835" s="2017" t="s">
        <v>1798</v>
      </c>
      <c r="E835" s="2017" t="s">
        <v>1652</v>
      </c>
      <c r="F835" s="2017" t="s">
        <v>1755</v>
      </c>
      <c r="G835" s="2018">
        <v>29000000</v>
      </c>
      <c r="H835" s="2024"/>
    </row>
    <row r="836" spans="1:8" ht="15.75" customHeight="1" x14ac:dyDescent="0.25">
      <c r="A836" s="2017" t="s">
        <v>1817</v>
      </c>
      <c r="B836" s="2017" t="s">
        <v>1592</v>
      </c>
      <c r="C836" s="2017" t="s">
        <v>1642</v>
      </c>
      <c r="D836" s="2017" t="s">
        <v>1798</v>
      </c>
      <c r="E836" s="2017" t="s">
        <v>1652</v>
      </c>
      <c r="F836" s="2017" t="s">
        <v>1789</v>
      </c>
      <c r="G836" s="2018">
        <v>27000000</v>
      </c>
      <c r="H836" s="2024"/>
    </row>
    <row r="837" spans="1:8" ht="15.75" customHeight="1" x14ac:dyDescent="0.25">
      <c r="A837" s="2017" t="s">
        <v>1817</v>
      </c>
      <c r="B837" s="2017" t="s">
        <v>1592</v>
      </c>
      <c r="C837" s="2017" t="s">
        <v>1642</v>
      </c>
      <c r="D837" s="2017" t="s">
        <v>1798</v>
      </c>
      <c r="E837" s="2017" t="s">
        <v>1652</v>
      </c>
      <c r="F837" s="2017" t="s">
        <v>1845</v>
      </c>
      <c r="G837" s="2018">
        <v>5700000</v>
      </c>
      <c r="H837" s="2024"/>
    </row>
    <row r="838" spans="1:8" ht="15.75" customHeight="1" x14ac:dyDescent="0.25">
      <c r="A838" s="2017" t="s">
        <v>1817</v>
      </c>
      <c r="B838" s="2017" t="s">
        <v>1592</v>
      </c>
      <c r="C838" s="2017" t="s">
        <v>1642</v>
      </c>
      <c r="D838" s="2017" t="s">
        <v>1798</v>
      </c>
      <c r="E838" s="2017" t="s">
        <v>1609</v>
      </c>
      <c r="F838" s="2017" t="s">
        <v>1646</v>
      </c>
      <c r="G838" s="2018">
        <v>203515000</v>
      </c>
      <c r="H838" s="2024"/>
    </row>
    <row r="839" spans="1:8" ht="15.75" customHeight="1" x14ac:dyDescent="0.25">
      <c r="A839" s="2017" t="s">
        <v>1817</v>
      </c>
      <c r="B839" s="2017" t="s">
        <v>1592</v>
      </c>
      <c r="C839" s="2017" t="s">
        <v>1642</v>
      </c>
      <c r="D839" s="2017" t="s">
        <v>1798</v>
      </c>
      <c r="E839" s="2017" t="s">
        <v>1609</v>
      </c>
      <c r="F839" s="2017" t="s">
        <v>1612</v>
      </c>
      <c r="G839" s="2018">
        <v>203515000</v>
      </c>
      <c r="H839" s="2024"/>
    </row>
    <row r="840" spans="1:8" ht="15.75" customHeight="1" x14ac:dyDescent="0.25">
      <c r="A840" s="2017" t="s">
        <v>1817</v>
      </c>
      <c r="B840" s="2017" t="s">
        <v>1592</v>
      </c>
      <c r="C840" s="2017" t="s">
        <v>1642</v>
      </c>
      <c r="D840" s="2017" t="s">
        <v>1798</v>
      </c>
      <c r="E840" s="2017" t="s">
        <v>1660</v>
      </c>
      <c r="F840" s="2017" t="s">
        <v>1646</v>
      </c>
      <c r="G840" s="2018">
        <v>52000000</v>
      </c>
      <c r="H840" s="2024"/>
    </row>
    <row r="841" spans="1:8" ht="15.75" customHeight="1" x14ac:dyDescent="0.25">
      <c r="A841" s="2017" t="s">
        <v>1817</v>
      </c>
      <c r="B841" s="2017" t="s">
        <v>1592</v>
      </c>
      <c r="C841" s="2017" t="s">
        <v>1642</v>
      </c>
      <c r="D841" s="2017" t="s">
        <v>1798</v>
      </c>
      <c r="E841" s="2017" t="s">
        <v>1660</v>
      </c>
      <c r="F841" s="2017" t="s">
        <v>1661</v>
      </c>
      <c r="G841" s="2018">
        <v>23000000</v>
      </c>
      <c r="H841" s="2024"/>
    </row>
    <row r="842" spans="1:8" ht="15.75" customHeight="1" x14ac:dyDescent="0.25">
      <c r="A842" s="2017" t="s">
        <v>1817</v>
      </c>
      <c r="B842" s="2017" t="s">
        <v>1592</v>
      </c>
      <c r="C842" s="2017" t="s">
        <v>1642</v>
      </c>
      <c r="D842" s="2017" t="s">
        <v>1798</v>
      </c>
      <c r="E842" s="2017" t="s">
        <v>1660</v>
      </c>
      <c r="F842" s="2017" t="s">
        <v>1662</v>
      </c>
      <c r="G842" s="2018">
        <v>17000000</v>
      </c>
      <c r="H842" s="2024"/>
    </row>
    <row r="843" spans="1:8" ht="15.75" customHeight="1" x14ac:dyDescent="0.25">
      <c r="A843" s="2017" t="s">
        <v>1817</v>
      </c>
      <c r="B843" s="2017" t="s">
        <v>1592</v>
      </c>
      <c r="C843" s="2017" t="s">
        <v>1642</v>
      </c>
      <c r="D843" s="2017" t="s">
        <v>1798</v>
      </c>
      <c r="E843" s="2017" t="s">
        <v>1660</v>
      </c>
      <c r="F843" s="2017" t="s">
        <v>1768</v>
      </c>
      <c r="G843" s="2018">
        <v>12000000</v>
      </c>
      <c r="H843" s="2024"/>
    </row>
    <row r="844" spans="1:8" ht="15.75" customHeight="1" x14ac:dyDescent="0.25">
      <c r="A844" s="2017" t="s">
        <v>1817</v>
      </c>
      <c r="B844" s="2017" t="s">
        <v>1592</v>
      </c>
      <c r="C844" s="2017" t="s">
        <v>1642</v>
      </c>
      <c r="D844" s="2017" t="s">
        <v>1798</v>
      </c>
      <c r="E844" s="2017" t="s">
        <v>1654</v>
      </c>
      <c r="F844" s="2017" t="s">
        <v>1646</v>
      </c>
      <c r="G844" s="2018">
        <v>28200000</v>
      </c>
      <c r="H844" s="2024"/>
    </row>
    <row r="845" spans="1:8" ht="15.75" customHeight="1" x14ac:dyDescent="0.25">
      <c r="A845" s="2017" t="s">
        <v>1817</v>
      </c>
      <c r="B845" s="2017" t="s">
        <v>1592</v>
      </c>
      <c r="C845" s="2017" t="s">
        <v>1642</v>
      </c>
      <c r="D845" s="2017" t="s">
        <v>1798</v>
      </c>
      <c r="E845" s="2017" t="s">
        <v>1654</v>
      </c>
      <c r="F845" s="2017" t="s">
        <v>1663</v>
      </c>
      <c r="G845" s="2018">
        <v>15000000</v>
      </c>
      <c r="H845" s="2024"/>
    </row>
    <row r="846" spans="1:8" ht="15.75" customHeight="1" x14ac:dyDescent="0.25">
      <c r="A846" s="2017" t="s">
        <v>1817</v>
      </c>
      <c r="B846" s="2017" t="s">
        <v>1592</v>
      </c>
      <c r="C846" s="2017" t="s">
        <v>1642</v>
      </c>
      <c r="D846" s="2017" t="s">
        <v>1798</v>
      </c>
      <c r="E846" s="2017" t="s">
        <v>1654</v>
      </c>
      <c r="F846" s="2017" t="s">
        <v>1655</v>
      </c>
      <c r="G846" s="2018">
        <v>13200000</v>
      </c>
      <c r="H846" s="2024"/>
    </row>
    <row r="847" spans="1:8" ht="15.75" customHeight="1" x14ac:dyDescent="0.25">
      <c r="A847" s="2017" t="s">
        <v>1817</v>
      </c>
      <c r="B847" s="2017" t="s">
        <v>1592</v>
      </c>
      <c r="C847" s="2017" t="s">
        <v>1642</v>
      </c>
      <c r="D847" s="2017" t="s">
        <v>1798</v>
      </c>
      <c r="E847" s="2017" t="s">
        <v>1602</v>
      </c>
      <c r="F847" s="2017" t="s">
        <v>1646</v>
      </c>
      <c r="G847" s="2018">
        <v>14605000</v>
      </c>
      <c r="H847" s="2024"/>
    </row>
    <row r="848" spans="1:8" ht="15.75" customHeight="1" x14ac:dyDescent="0.25">
      <c r="A848" s="2017" t="s">
        <v>1817</v>
      </c>
      <c r="B848" s="2017" t="s">
        <v>1592</v>
      </c>
      <c r="C848" s="2017" t="s">
        <v>1642</v>
      </c>
      <c r="D848" s="2017" t="s">
        <v>1798</v>
      </c>
      <c r="E848" s="2017" t="s">
        <v>1602</v>
      </c>
      <c r="F848" s="2017" t="s">
        <v>1790</v>
      </c>
      <c r="G848" s="2018">
        <v>10000000</v>
      </c>
      <c r="H848" s="2024"/>
    </row>
    <row r="849" spans="1:8" ht="15.75" customHeight="1" x14ac:dyDescent="0.25">
      <c r="A849" s="2017" t="s">
        <v>1817</v>
      </c>
      <c r="B849" s="2017" t="s">
        <v>1592</v>
      </c>
      <c r="C849" s="2017" t="s">
        <v>1642</v>
      </c>
      <c r="D849" s="2017" t="s">
        <v>1798</v>
      </c>
      <c r="E849" s="2017" t="s">
        <v>1602</v>
      </c>
      <c r="F849" s="2017" t="s">
        <v>1680</v>
      </c>
      <c r="G849" s="2018">
        <v>3870000</v>
      </c>
      <c r="H849" s="2024"/>
    </row>
    <row r="850" spans="1:8" ht="15.75" customHeight="1" x14ac:dyDescent="0.25">
      <c r="A850" s="2017" t="s">
        <v>1817</v>
      </c>
      <c r="B850" s="2017" t="s">
        <v>1592</v>
      </c>
      <c r="C850" s="2017" t="s">
        <v>1642</v>
      </c>
      <c r="D850" s="2017" t="s">
        <v>1798</v>
      </c>
      <c r="E850" s="2017" t="s">
        <v>1602</v>
      </c>
      <c r="F850" s="2017" t="s">
        <v>1759</v>
      </c>
      <c r="G850" s="2018">
        <v>735000</v>
      </c>
      <c r="H850" s="2024"/>
    </row>
    <row r="851" spans="1:8" ht="15.75" customHeight="1" x14ac:dyDescent="0.25">
      <c r="A851" s="2017" t="s">
        <v>1817</v>
      </c>
      <c r="B851" s="2017" t="s">
        <v>1592</v>
      </c>
      <c r="C851" s="2017" t="s">
        <v>1642</v>
      </c>
      <c r="D851" s="2017" t="s">
        <v>1798</v>
      </c>
      <c r="E851" s="2017" t="s">
        <v>1630</v>
      </c>
      <c r="F851" s="2017" t="s">
        <v>1646</v>
      </c>
      <c r="G851" s="2018">
        <v>10000000</v>
      </c>
      <c r="H851" s="2024"/>
    </row>
    <row r="852" spans="1:8" ht="15.75" customHeight="1" x14ac:dyDescent="0.25">
      <c r="A852" s="2017" t="s">
        <v>1817</v>
      </c>
      <c r="B852" s="2017" t="s">
        <v>1592</v>
      </c>
      <c r="C852" s="2017" t="s">
        <v>1642</v>
      </c>
      <c r="D852" s="2017" t="s">
        <v>1798</v>
      </c>
      <c r="E852" s="2017" t="s">
        <v>1630</v>
      </c>
      <c r="F852" s="2017" t="s">
        <v>1640</v>
      </c>
      <c r="G852" s="2018">
        <v>10000000</v>
      </c>
      <c r="H852" s="2024"/>
    </row>
    <row r="853" spans="1:8" ht="15.75" customHeight="1" x14ac:dyDescent="0.25">
      <c r="A853" s="2017" t="s">
        <v>1817</v>
      </c>
      <c r="B853" s="2017" t="s">
        <v>1592</v>
      </c>
      <c r="C853" s="2017" t="s">
        <v>1642</v>
      </c>
      <c r="D853" s="2017" t="s">
        <v>1798</v>
      </c>
      <c r="E853" s="2017" t="s">
        <v>1618</v>
      </c>
      <c r="F853" s="2017" t="s">
        <v>1646</v>
      </c>
      <c r="G853" s="2018">
        <v>286555000</v>
      </c>
      <c r="H853" s="2024"/>
    </row>
    <row r="854" spans="1:8" ht="15.75" customHeight="1" x14ac:dyDescent="0.25">
      <c r="A854" s="2017" t="s">
        <v>1817</v>
      </c>
      <c r="B854" s="2017" t="s">
        <v>1592</v>
      </c>
      <c r="C854" s="2017" t="s">
        <v>1642</v>
      </c>
      <c r="D854" s="2017" t="s">
        <v>1798</v>
      </c>
      <c r="E854" s="2017" t="s">
        <v>1618</v>
      </c>
      <c r="F854" s="2017" t="s">
        <v>1619</v>
      </c>
      <c r="G854" s="2018">
        <v>2855000</v>
      </c>
      <c r="H854" s="2024"/>
    </row>
    <row r="855" spans="1:8" ht="15.75" customHeight="1" x14ac:dyDescent="0.25">
      <c r="A855" s="2017" t="s">
        <v>1817</v>
      </c>
      <c r="B855" s="2017" t="s">
        <v>1592</v>
      </c>
      <c r="C855" s="2017" t="s">
        <v>1642</v>
      </c>
      <c r="D855" s="2017" t="s">
        <v>1798</v>
      </c>
      <c r="E855" s="2017" t="s">
        <v>1618</v>
      </c>
      <c r="F855" s="2017" t="s">
        <v>1762</v>
      </c>
      <c r="G855" s="2018">
        <v>6500000</v>
      </c>
      <c r="H855" s="2024"/>
    </row>
    <row r="856" spans="1:8" ht="15.75" customHeight="1" x14ac:dyDescent="0.25">
      <c r="A856" s="2017" t="s">
        <v>1817</v>
      </c>
      <c r="B856" s="2017" t="s">
        <v>1592</v>
      </c>
      <c r="C856" s="2017" t="s">
        <v>1642</v>
      </c>
      <c r="D856" s="2017" t="s">
        <v>1798</v>
      </c>
      <c r="E856" s="2017" t="s">
        <v>1618</v>
      </c>
      <c r="F856" s="2017" t="s">
        <v>1622</v>
      </c>
      <c r="G856" s="2018">
        <v>277200000</v>
      </c>
      <c r="H856" s="2024"/>
    </row>
    <row r="857" spans="1:8" ht="15.75" customHeight="1" x14ac:dyDescent="0.25">
      <c r="A857" s="2017" t="s">
        <v>1817</v>
      </c>
      <c r="B857" s="2017" t="s">
        <v>1592</v>
      </c>
      <c r="C857" s="2017" t="s">
        <v>1642</v>
      </c>
      <c r="D857" s="2017" t="s">
        <v>1798</v>
      </c>
      <c r="E857" s="2017" t="s">
        <v>1791</v>
      </c>
      <c r="F857" s="2017" t="s">
        <v>1646</v>
      </c>
      <c r="G857" s="2018">
        <v>23500000</v>
      </c>
      <c r="H857" s="2024"/>
    </row>
    <row r="858" spans="1:8" ht="15.75" customHeight="1" x14ac:dyDescent="0.25">
      <c r="A858" s="2017" t="s">
        <v>1817</v>
      </c>
      <c r="B858" s="2017" t="s">
        <v>1592</v>
      </c>
      <c r="C858" s="2017" t="s">
        <v>1642</v>
      </c>
      <c r="D858" s="2017" t="s">
        <v>1798</v>
      </c>
      <c r="E858" s="2017" t="s">
        <v>1791</v>
      </c>
      <c r="F858" s="2017" t="s">
        <v>1792</v>
      </c>
      <c r="G858" s="2018">
        <v>23500000</v>
      </c>
      <c r="H858" s="2024"/>
    </row>
    <row r="859" spans="1:8" ht="15.75" customHeight="1" x14ac:dyDescent="0.25">
      <c r="A859" s="2017" t="s">
        <v>1817</v>
      </c>
      <c r="B859" s="2017" t="s">
        <v>1592</v>
      </c>
      <c r="C859" s="2017" t="s">
        <v>1642</v>
      </c>
      <c r="D859" s="2017" t="s">
        <v>1798</v>
      </c>
      <c r="E859" s="2017" t="s">
        <v>1824</v>
      </c>
      <c r="F859" s="2017" t="s">
        <v>1646</v>
      </c>
      <c r="G859" s="2018">
        <v>235600000</v>
      </c>
      <c r="H859" s="2024"/>
    </row>
    <row r="860" spans="1:8" ht="15.75" customHeight="1" x14ac:dyDescent="0.25">
      <c r="A860" s="2017" t="s">
        <v>1817</v>
      </c>
      <c r="B860" s="2017" t="s">
        <v>1592</v>
      </c>
      <c r="C860" s="2017" t="s">
        <v>1642</v>
      </c>
      <c r="D860" s="2017" t="s">
        <v>1798</v>
      </c>
      <c r="E860" s="2017" t="s">
        <v>1824</v>
      </c>
      <c r="F860" s="2017" t="s">
        <v>1846</v>
      </c>
      <c r="G860" s="2018">
        <v>2250000</v>
      </c>
      <c r="H860" s="2024"/>
    </row>
    <row r="861" spans="1:8" ht="15.75" customHeight="1" x14ac:dyDescent="0.25">
      <c r="A861" s="2017" t="s">
        <v>1817</v>
      </c>
      <c r="B861" s="2017" t="s">
        <v>1592</v>
      </c>
      <c r="C861" s="2017" t="s">
        <v>1642</v>
      </c>
      <c r="D861" s="2017" t="s">
        <v>1798</v>
      </c>
      <c r="E861" s="2017" t="s">
        <v>1824</v>
      </c>
      <c r="F861" s="2017" t="s">
        <v>1847</v>
      </c>
      <c r="G861" s="2018">
        <v>233350000</v>
      </c>
      <c r="H861" s="2024"/>
    </row>
    <row r="862" spans="1:8" ht="15.75" customHeight="1" x14ac:dyDescent="0.25">
      <c r="A862" s="2017" t="s">
        <v>1817</v>
      </c>
      <c r="B862" s="2017" t="s">
        <v>1592</v>
      </c>
      <c r="C862" s="2017" t="s">
        <v>1642</v>
      </c>
      <c r="D862" s="2017" t="s">
        <v>1798</v>
      </c>
      <c r="E862" s="2017" t="s">
        <v>1615</v>
      </c>
      <c r="F862" s="2017" t="s">
        <v>1646</v>
      </c>
      <c r="G862" s="2018">
        <v>747019360</v>
      </c>
      <c r="H862" s="2024"/>
    </row>
    <row r="863" spans="1:8" ht="15.75" customHeight="1" x14ac:dyDescent="0.25">
      <c r="A863" s="2017" t="s">
        <v>1817</v>
      </c>
      <c r="B863" s="2017" t="s">
        <v>1592</v>
      </c>
      <c r="C863" s="2017" t="s">
        <v>1642</v>
      </c>
      <c r="D863" s="2017" t="s">
        <v>1798</v>
      </c>
      <c r="E863" s="2017" t="s">
        <v>1615</v>
      </c>
      <c r="F863" s="2017" t="s">
        <v>1763</v>
      </c>
      <c r="G863" s="2018">
        <v>234781860</v>
      </c>
      <c r="H863" s="2024"/>
    </row>
    <row r="864" spans="1:8" ht="15.75" customHeight="1" x14ac:dyDescent="0.25">
      <c r="A864" s="2017" t="s">
        <v>1817</v>
      </c>
      <c r="B864" s="2017" t="s">
        <v>1592</v>
      </c>
      <c r="C864" s="2017" t="s">
        <v>1642</v>
      </c>
      <c r="D864" s="2017" t="s">
        <v>1798</v>
      </c>
      <c r="E864" s="2017" t="s">
        <v>1615</v>
      </c>
      <c r="F864" s="2017" t="s">
        <v>1616</v>
      </c>
      <c r="G864" s="2018">
        <v>512237500</v>
      </c>
      <c r="H864" s="2024"/>
    </row>
    <row r="865" spans="1:8" ht="15.75" customHeight="1" x14ac:dyDescent="0.25">
      <c r="A865" s="2017" t="s">
        <v>1817</v>
      </c>
      <c r="B865" s="2017" t="s">
        <v>1592</v>
      </c>
      <c r="C865" s="2017" t="s">
        <v>1642</v>
      </c>
      <c r="D865" s="2017" t="s">
        <v>1798</v>
      </c>
      <c r="E865" s="2017" t="s">
        <v>1801</v>
      </c>
      <c r="F865" s="2017" t="s">
        <v>1646</v>
      </c>
      <c r="G865" s="2018">
        <v>1311894800</v>
      </c>
      <c r="H865" s="2024"/>
    </row>
    <row r="866" spans="1:8" ht="15.75" customHeight="1" x14ac:dyDescent="0.25">
      <c r="A866" s="2017" t="s">
        <v>1817</v>
      </c>
      <c r="B866" s="2017" t="s">
        <v>1592</v>
      </c>
      <c r="C866" s="2017" t="s">
        <v>1642</v>
      </c>
      <c r="D866" s="2017" t="s">
        <v>1798</v>
      </c>
      <c r="E866" s="2017" t="s">
        <v>1801</v>
      </c>
      <c r="F866" s="2017" t="s">
        <v>1802</v>
      </c>
      <c r="G866" s="2018">
        <v>16820800</v>
      </c>
      <c r="H866" s="2024"/>
    </row>
    <row r="867" spans="1:8" ht="15.75" customHeight="1" x14ac:dyDescent="0.25">
      <c r="A867" s="2017" t="s">
        <v>1817</v>
      </c>
      <c r="B867" s="2017" t="s">
        <v>1592</v>
      </c>
      <c r="C867" s="2017" t="s">
        <v>1642</v>
      </c>
      <c r="D867" s="2017" t="s">
        <v>1798</v>
      </c>
      <c r="E867" s="2017" t="s">
        <v>1801</v>
      </c>
      <c r="F867" s="2017" t="s">
        <v>1803</v>
      </c>
      <c r="G867" s="2018">
        <v>633814000</v>
      </c>
      <c r="H867" s="2024"/>
    </row>
    <row r="868" spans="1:8" ht="15.75" customHeight="1" x14ac:dyDescent="0.25">
      <c r="A868" s="2017" t="s">
        <v>1817</v>
      </c>
      <c r="B868" s="2017" t="s">
        <v>1592</v>
      </c>
      <c r="C868" s="2017" t="s">
        <v>1642</v>
      </c>
      <c r="D868" s="2017" t="s">
        <v>1798</v>
      </c>
      <c r="E868" s="2017" t="s">
        <v>1801</v>
      </c>
      <c r="F868" s="2017" t="s">
        <v>1804</v>
      </c>
      <c r="G868" s="2018">
        <v>661260000</v>
      </c>
      <c r="H868" s="2024"/>
    </row>
    <row r="869" spans="1:8" ht="15.75" customHeight="1" x14ac:dyDescent="0.25">
      <c r="A869" s="2017" t="s">
        <v>1817</v>
      </c>
      <c r="B869" s="2017" t="s">
        <v>1592</v>
      </c>
      <c r="C869" s="2017" t="s">
        <v>1642</v>
      </c>
      <c r="D869" s="2017" t="s">
        <v>1798</v>
      </c>
      <c r="E869" s="2017" t="s">
        <v>1795</v>
      </c>
      <c r="F869" s="2017" t="s">
        <v>1646</v>
      </c>
      <c r="G869" s="2018">
        <v>6197924114</v>
      </c>
      <c r="H869" s="2024"/>
    </row>
    <row r="870" spans="1:8" ht="15.75" customHeight="1" x14ac:dyDescent="0.25">
      <c r="A870" s="2017" t="s">
        <v>1817</v>
      </c>
      <c r="B870" s="2017" t="s">
        <v>1592</v>
      </c>
      <c r="C870" s="2017" t="s">
        <v>1642</v>
      </c>
      <c r="D870" s="2017" t="s">
        <v>1798</v>
      </c>
      <c r="E870" s="2017" t="s">
        <v>1795</v>
      </c>
      <c r="F870" s="2017" t="s">
        <v>1796</v>
      </c>
      <c r="G870" s="2018">
        <v>6197924114</v>
      </c>
      <c r="H870" s="2024"/>
    </row>
    <row r="871" spans="1:8" ht="15.75" customHeight="1" x14ac:dyDescent="0.25">
      <c r="A871" s="2017" t="s">
        <v>1817</v>
      </c>
      <c r="B871" s="2017" t="s">
        <v>1592</v>
      </c>
      <c r="C871" s="2017" t="s">
        <v>1642</v>
      </c>
      <c r="D871" s="2017" t="s">
        <v>1805</v>
      </c>
      <c r="E871" s="2017" t="s">
        <v>1646</v>
      </c>
      <c r="F871" s="2017" t="s">
        <v>1646</v>
      </c>
      <c r="G871" s="2018">
        <v>7962753854</v>
      </c>
      <c r="H871" s="2024"/>
    </row>
    <row r="872" spans="1:8" ht="15.75" customHeight="1" x14ac:dyDescent="0.25">
      <c r="A872" s="2017" t="s">
        <v>1817</v>
      </c>
      <c r="B872" s="2017" t="s">
        <v>1592</v>
      </c>
      <c r="C872" s="2017" t="s">
        <v>1642</v>
      </c>
      <c r="D872" s="2017" t="s">
        <v>1805</v>
      </c>
      <c r="E872" s="2017" t="s">
        <v>1730</v>
      </c>
      <c r="F872" s="2017" t="s">
        <v>1646</v>
      </c>
      <c r="G872" s="2018">
        <v>1694882358</v>
      </c>
      <c r="H872" s="2024"/>
    </row>
    <row r="873" spans="1:8" ht="15.75" customHeight="1" x14ac:dyDescent="0.25">
      <c r="A873" s="2017" t="s">
        <v>1817</v>
      </c>
      <c r="B873" s="2017" t="s">
        <v>1592</v>
      </c>
      <c r="C873" s="2017" t="s">
        <v>1642</v>
      </c>
      <c r="D873" s="2017" t="s">
        <v>1805</v>
      </c>
      <c r="E873" s="2017" t="s">
        <v>1730</v>
      </c>
      <c r="F873" s="2017" t="s">
        <v>1731</v>
      </c>
      <c r="G873" s="2018">
        <v>1694882358</v>
      </c>
      <c r="H873" s="2024"/>
    </row>
    <row r="874" spans="1:8" ht="15.75" customHeight="1" x14ac:dyDescent="0.25">
      <c r="A874" s="2017" t="s">
        <v>1817</v>
      </c>
      <c r="B874" s="2017" t="s">
        <v>1592</v>
      </c>
      <c r="C874" s="2017" t="s">
        <v>1642</v>
      </c>
      <c r="D874" s="2017" t="s">
        <v>1805</v>
      </c>
      <c r="E874" s="2017" t="s">
        <v>1607</v>
      </c>
      <c r="F874" s="2017" t="s">
        <v>1646</v>
      </c>
      <c r="G874" s="2018">
        <v>1057598955</v>
      </c>
      <c r="H874" s="2024"/>
    </row>
    <row r="875" spans="1:8" ht="15.75" customHeight="1" x14ac:dyDescent="0.25">
      <c r="A875" s="2017" t="s">
        <v>1817</v>
      </c>
      <c r="B875" s="2017" t="s">
        <v>1592</v>
      </c>
      <c r="C875" s="2017" t="s">
        <v>1642</v>
      </c>
      <c r="D875" s="2017" t="s">
        <v>1805</v>
      </c>
      <c r="E875" s="2017" t="s">
        <v>1607</v>
      </c>
      <c r="F875" s="2017" t="s">
        <v>1734</v>
      </c>
      <c r="G875" s="2018">
        <v>80873442</v>
      </c>
      <c r="H875" s="2024"/>
    </row>
    <row r="876" spans="1:8" ht="15.75" customHeight="1" x14ac:dyDescent="0.25">
      <c r="A876" s="2017" t="s">
        <v>1817</v>
      </c>
      <c r="B876" s="2017" t="s">
        <v>1592</v>
      </c>
      <c r="C876" s="2017" t="s">
        <v>1642</v>
      </c>
      <c r="D876" s="2017" t="s">
        <v>1805</v>
      </c>
      <c r="E876" s="2017" t="s">
        <v>1607</v>
      </c>
      <c r="F876" s="2017" t="s">
        <v>1735</v>
      </c>
      <c r="G876" s="2018">
        <v>123552000</v>
      </c>
      <c r="H876" s="2024"/>
    </row>
    <row r="877" spans="1:8" ht="15.75" customHeight="1" x14ac:dyDescent="0.25">
      <c r="A877" s="2017" t="s">
        <v>1817</v>
      </c>
      <c r="B877" s="2017" t="s">
        <v>1592</v>
      </c>
      <c r="C877" s="2017" t="s">
        <v>1642</v>
      </c>
      <c r="D877" s="2017" t="s">
        <v>1805</v>
      </c>
      <c r="E877" s="2017" t="s">
        <v>1607</v>
      </c>
      <c r="F877" s="2017" t="s">
        <v>1608</v>
      </c>
      <c r="G877" s="2018">
        <v>49935753</v>
      </c>
      <c r="H877" s="2024"/>
    </row>
    <row r="878" spans="1:8" ht="15.75" customHeight="1" x14ac:dyDescent="0.25">
      <c r="A878" s="2017" t="s">
        <v>1817</v>
      </c>
      <c r="B878" s="2017" t="s">
        <v>1592</v>
      </c>
      <c r="C878" s="2017" t="s">
        <v>1642</v>
      </c>
      <c r="D878" s="2017" t="s">
        <v>1805</v>
      </c>
      <c r="E878" s="2017" t="s">
        <v>1607</v>
      </c>
      <c r="F878" s="2017" t="s">
        <v>1780</v>
      </c>
      <c r="G878" s="2018">
        <v>1404000</v>
      </c>
      <c r="H878" s="2024"/>
    </row>
    <row r="879" spans="1:8" ht="15.75" customHeight="1" x14ac:dyDescent="0.25">
      <c r="A879" s="2017" t="s">
        <v>1817</v>
      </c>
      <c r="B879" s="2017" t="s">
        <v>1592</v>
      </c>
      <c r="C879" s="2017" t="s">
        <v>1642</v>
      </c>
      <c r="D879" s="2017" t="s">
        <v>1805</v>
      </c>
      <c r="E879" s="2017" t="s">
        <v>1607</v>
      </c>
      <c r="F879" s="2017" t="s">
        <v>1737</v>
      </c>
      <c r="G879" s="2018">
        <v>2808000</v>
      </c>
      <c r="H879" s="2024"/>
    </row>
    <row r="880" spans="1:8" ht="15.75" customHeight="1" x14ac:dyDescent="0.25">
      <c r="A880" s="2017" t="s">
        <v>1817</v>
      </c>
      <c r="B880" s="2017" t="s">
        <v>1592</v>
      </c>
      <c r="C880" s="2017" t="s">
        <v>1642</v>
      </c>
      <c r="D880" s="2017" t="s">
        <v>1805</v>
      </c>
      <c r="E880" s="2017" t="s">
        <v>1607</v>
      </c>
      <c r="F880" s="2017" t="s">
        <v>1726</v>
      </c>
      <c r="G880" s="2018">
        <v>1165086</v>
      </c>
      <c r="H880" s="2024"/>
    </row>
    <row r="881" spans="1:8" ht="15.75" customHeight="1" x14ac:dyDescent="0.25">
      <c r="A881" s="2017" t="s">
        <v>1817</v>
      </c>
      <c r="B881" s="2017" t="s">
        <v>1592</v>
      </c>
      <c r="C881" s="2017" t="s">
        <v>1642</v>
      </c>
      <c r="D881" s="2017" t="s">
        <v>1805</v>
      </c>
      <c r="E881" s="2017" t="s">
        <v>1607</v>
      </c>
      <c r="F881" s="2017" t="s">
        <v>1799</v>
      </c>
      <c r="G881" s="2018">
        <v>356691816</v>
      </c>
      <c r="H881" s="2024"/>
    </row>
    <row r="882" spans="1:8" ht="15.75" customHeight="1" x14ac:dyDescent="0.25">
      <c r="A882" s="2017" t="s">
        <v>1817</v>
      </c>
      <c r="B882" s="2017" t="s">
        <v>1592</v>
      </c>
      <c r="C882" s="2017" t="s">
        <v>1642</v>
      </c>
      <c r="D882" s="2017" t="s">
        <v>1805</v>
      </c>
      <c r="E882" s="2017" t="s">
        <v>1607</v>
      </c>
      <c r="F882" s="2017" t="s">
        <v>1781</v>
      </c>
      <c r="G882" s="2018">
        <v>434870514</v>
      </c>
      <c r="H882" s="2024"/>
    </row>
    <row r="883" spans="1:8" ht="15.75" customHeight="1" x14ac:dyDescent="0.25">
      <c r="A883" s="2017" t="s">
        <v>1817</v>
      </c>
      <c r="B883" s="2017" t="s">
        <v>1592</v>
      </c>
      <c r="C883" s="2017" t="s">
        <v>1642</v>
      </c>
      <c r="D883" s="2017" t="s">
        <v>1805</v>
      </c>
      <c r="E883" s="2017" t="s">
        <v>1607</v>
      </c>
      <c r="F883" s="2017" t="s">
        <v>1738</v>
      </c>
      <c r="G883" s="2018">
        <v>6298344</v>
      </c>
      <c r="H883" s="2024"/>
    </row>
    <row r="884" spans="1:8" ht="15.75" customHeight="1" x14ac:dyDescent="0.25">
      <c r="A884" s="2017" t="s">
        <v>1817</v>
      </c>
      <c r="B884" s="2017" t="s">
        <v>1592</v>
      </c>
      <c r="C884" s="2017" t="s">
        <v>1642</v>
      </c>
      <c r="D884" s="2017" t="s">
        <v>1805</v>
      </c>
      <c r="E884" s="2017" t="s">
        <v>1741</v>
      </c>
      <c r="F884" s="2017" t="s">
        <v>1646</v>
      </c>
      <c r="G884" s="2018">
        <v>192082000</v>
      </c>
      <c r="H884" s="2024"/>
    </row>
    <row r="885" spans="1:8" ht="15.75" customHeight="1" x14ac:dyDescent="0.25">
      <c r="A885" s="2017" t="s">
        <v>1817</v>
      </c>
      <c r="B885" s="2017" t="s">
        <v>1592</v>
      </c>
      <c r="C885" s="2017" t="s">
        <v>1642</v>
      </c>
      <c r="D885" s="2017" t="s">
        <v>1805</v>
      </c>
      <c r="E885" s="2017" t="s">
        <v>1741</v>
      </c>
      <c r="F885" s="2017" t="s">
        <v>1742</v>
      </c>
      <c r="G885" s="2018">
        <v>175000000</v>
      </c>
      <c r="H885" s="2024"/>
    </row>
    <row r="886" spans="1:8" ht="15.75" customHeight="1" x14ac:dyDescent="0.25">
      <c r="A886" s="2017" t="s">
        <v>1817</v>
      </c>
      <c r="B886" s="2017" t="s">
        <v>1592</v>
      </c>
      <c r="C886" s="2017" t="s">
        <v>1642</v>
      </c>
      <c r="D886" s="2017" t="s">
        <v>1805</v>
      </c>
      <c r="E886" s="2017" t="s">
        <v>1741</v>
      </c>
      <c r="F886" s="2017" t="s">
        <v>1782</v>
      </c>
      <c r="G886" s="2018">
        <v>17082000</v>
      </c>
      <c r="H886" s="2024"/>
    </row>
    <row r="887" spans="1:8" ht="15.75" customHeight="1" x14ac:dyDescent="0.25">
      <c r="A887" s="2017" t="s">
        <v>1817</v>
      </c>
      <c r="B887" s="2017" t="s">
        <v>1592</v>
      </c>
      <c r="C887" s="2017" t="s">
        <v>1642</v>
      </c>
      <c r="D887" s="2017" t="s">
        <v>1805</v>
      </c>
      <c r="E887" s="2017" t="s">
        <v>1784</v>
      </c>
      <c r="F887" s="2017" t="s">
        <v>1646</v>
      </c>
      <c r="G887" s="2018">
        <v>110240000</v>
      </c>
      <c r="H887" s="2024"/>
    </row>
    <row r="888" spans="1:8" ht="15.75" customHeight="1" x14ac:dyDescent="0.25">
      <c r="A888" s="2017" t="s">
        <v>1817</v>
      </c>
      <c r="B888" s="2017" t="s">
        <v>1592</v>
      </c>
      <c r="C888" s="2017" t="s">
        <v>1642</v>
      </c>
      <c r="D888" s="2017" t="s">
        <v>1805</v>
      </c>
      <c r="E888" s="2017" t="s">
        <v>1784</v>
      </c>
      <c r="F888" s="2017" t="s">
        <v>1785</v>
      </c>
      <c r="G888" s="2018">
        <v>110240000</v>
      </c>
      <c r="H888" s="2024"/>
    </row>
    <row r="889" spans="1:8" ht="15.75" customHeight="1" x14ac:dyDescent="0.25">
      <c r="A889" s="2017" t="s">
        <v>1817</v>
      </c>
      <c r="B889" s="2017" t="s">
        <v>1592</v>
      </c>
      <c r="C889" s="2017" t="s">
        <v>1642</v>
      </c>
      <c r="D889" s="2017" t="s">
        <v>1805</v>
      </c>
      <c r="E889" s="2017" t="s">
        <v>1743</v>
      </c>
      <c r="F889" s="2017" t="s">
        <v>1646</v>
      </c>
      <c r="G889" s="2018">
        <v>431489028</v>
      </c>
      <c r="H889" s="2024"/>
    </row>
    <row r="890" spans="1:8" ht="15.75" customHeight="1" x14ac:dyDescent="0.25">
      <c r="A890" s="2017" t="s">
        <v>1817</v>
      </c>
      <c r="B890" s="2017" t="s">
        <v>1592</v>
      </c>
      <c r="C890" s="2017" t="s">
        <v>1642</v>
      </c>
      <c r="D890" s="2017" t="s">
        <v>1805</v>
      </c>
      <c r="E890" s="2017" t="s">
        <v>1743</v>
      </c>
      <c r="F890" s="2017" t="s">
        <v>1744</v>
      </c>
      <c r="G890" s="2018">
        <v>351979690</v>
      </c>
      <c r="H890" s="2024"/>
    </row>
    <row r="891" spans="1:8" ht="15.75" customHeight="1" x14ac:dyDescent="0.25">
      <c r="A891" s="2017" t="s">
        <v>1817</v>
      </c>
      <c r="B891" s="2017" t="s">
        <v>1592</v>
      </c>
      <c r="C891" s="2017" t="s">
        <v>1642</v>
      </c>
      <c r="D891" s="2017" t="s">
        <v>1805</v>
      </c>
      <c r="E891" s="2017" t="s">
        <v>1743</v>
      </c>
      <c r="F891" s="2017" t="s">
        <v>1745</v>
      </c>
      <c r="G891" s="2018">
        <v>64174476</v>
      </c>
      <c r="H891" s="2024"/>
    </row>
    <row r="892" spans="1:8" ht="15.75" customHeight="1" x14ac:dyDescent="0.25">
      <c r="A892" s="2017" t="s">
        <v>1817</v>
      </c>
      <c r="B892" s="2017" t="s">
        <v>1592</v>
      </c>
      <c r="C892" s="2017" t="s">
        <v>1642</v>
      </c>
      <c r="D892" s="2017" t="s">
        <v>1805</v>
      </c>
      <c r="E892" s="2017" t="s">
        <v>1743</v>
      </c>
      <c r="F892" s="2017" t="s">
        <v>1746</v>
      </c>
      <c r="G892" s="2018">
        <v>15334862</v>
      </c>
      <c r="H892" s="2024"/>
    </row>
    <row r="893" spans="1:8" ht="15.75" customHeight="1" x14ac:dyDescent="0.25">
      <c r="A893" s="2017" t="s">
        <v>1817</v>
      </c>
      <c r="B893" s="2017" t="s">
        <v>1592</v>
      </c>
      <c r="C893" s="2017" t="s">
        <v>1642</v>
      </c>
      <c r="D893" s="2017" t="s">
        <v>1805</v>
      </c>
      <c r="E893" s="2017" t="s">
        <v>1727</v>
      </c>
      <c r="F893" s="2017" t="s">
        <v>1646</v>
      </c>
      <c r="G893" s="2018">
        <v>1646045556</v>
      </c>
      <c r="H893" s="2024"/>
    </row>
    <row r="894" spans="1:8" ht="15.75" customHeight="1" x14ac:dyDescent="0.25">
      <c r="A894" s="2017" t="s">
        <v>1817</v>
      </c>
      <c r="B894" s="2017" t="s">
        <v>1592</v>
      </c>
      <c r="C894" s="2017" t="s">
        <v>1642</v>
      </c>
      <c r="D894" s="2017" t="s">
        <v>1805</v>
      </c>
      <c r="E894" s="2017" t="s">
        <v>1727</v>
      </c>
      <c r="F894" s="2017" t="s">
        <v>1786</v>
      </c>
      <c r="G894" s="2018">
        <v>831323756</v>
      </c>
      <c r="H894" s="2024"/>
    </row>
    <row r="895" spans="1:8" ht="15.75" customHeight="1" x14ac:dyDescent="0.25">
      <c r="A895" s="2017" t="s">
        <v>1817</v>
      </c>
      <c r="B895" s="2017" t="s">
        <v>1592</v>
      </c>
      <c r="C895" s="2017" t="s">
        <v>1642</v>
      </c>
      <c r="D895" s="2017" t="s">
        <v>1805</v>
      </c>
      <c r="E895" s="2017" t="s">
        <v>1727</v>
      </c>
      <c r="F895" s="2017" t="s">
        <v>1728</v>
      </c>
      <c r="G895" s="2018">
        <v>814721800</v>
      </c>
      <c r="H895" s="2024"/>
    </row>
    <row r="896" spans="1:8" ht="15.75" customHeight="1" x14ac:dyDescent="0.25">
      <c r="A896" s="2017" t="s">
        <v>1817</v>
      </c>
      <c r="B896" s="2017" t="s">
        <v>1592</v>
      </c>
      <c r="C896" s="2017" t="s">
        <v>1642</v>
      </c>
      <c r="D896" s="2017" t="s">
        <v>1805</v>
      </c>
      <c r="E896" s="2017" t="s">
        <v>1748</v>
      </c>
      <c r="F896" s="2017" t="s">
        <v>1646</v>
      </c>
      <c r="G896" s="2018">
        <v>177490961</v>
      </c>
      <c r="H896" s="2024"/>
    </row>
    <row r="897" spans="1:8" ht="15.75" customHeight="1" x14ac:dyDescent="0.25">
      <c r="A897" s="2017" t="s">
        <v>1817</v>
      </c>
      <c r="B897" s="2017" t="s">
        <v>1592</v>
      </c>
      <c r="C897" s="2017" t="s">
        <v>1642</v>
      </c>
      <c r="D897" s="2017" t="s">
        <v>1805</v>
      </c>
      <c r="E897" s="2017" t="s">
        <v>1748</v>
      </c>
      <c r="F897" s="2017" t="s">
        <v>1767</v>
      </c>
      <c r="G897" s="2018">
        <v>177490961</v>
      </c>
      <c r="H897" s="2024"/>
    </row>
    <row r="898" spans="1:8" ht="15.75" customHeight="1" x14ac:dyDescent="0.25">
      <c r="A898" s="2017" t="s">
        <v>1817</v>
      </c>
      <c r="B898" s="2017" t="s">
        <v>1592</v>
      </c>
      <c r="C898" s="2017" t="s">
        <v>1642</v>
      </c>
      <c r="D898" s="2017" t="s">
        <v>1805</v>
      </c>
      <c r="E898" s="2017" t="s">
        <v>1751</v>
      </c>
      <c r="F898" s="2017" t="s">
        <v>1646</v>
      </c>
      <c r="G898" s="2018">
        <v>34406818</v>
      </c>
      <c r="H898" s="2024"/>
    </row>
    <row r="899" spans="1:8" ht="15.75" customHeight="1" x14ac:dyDescent="0.25">
      <c r="A899" s="2017" t="s">
        <v>1817</v>
      </c>
      <c r="B899" s="2017" t="s">
        <v>1592</v>
      </c>
      <c r="C899" s="2017" t="s">
        <v>1642</v>
      </c>
      <c r="D899" s="2017" t="s">
        <v>1805</v>
      </c>
      <c r="E899" s="2017" t="s">
        <v>1751</v>
      </c>
      <c r="F899" s="2017" t="s">
        <v>1752</v>
      </c>
      <c r="G899" s="2018">
        <v>34406818</v>
      </c>
      <c r="H899" s="2024"/>
    </row>
    <row r="900" spans="1:8" ht="15.75" customHeight="1" x14ac:dyDescent="0.25">
      <c r="A900" s="2017" t="s">
        <v>1817</v>
      </c>
      <c r="B900" s="2017" t="s">
        <v>1592</v>
      </c>
      <c r="C900" s="2017" t="s">
        <v>1642</v>
      </c>
      <c r="D900" s="2017" t="s">
        <v>1805</v>
      </c>
      <c r="E900" s="2017" t="s">
        <v>1623</v>
      </c>
      <c r="F900" s="2017" t="s">
        <v>1646</v>
      </c>
      <c r="G900" s="2018">
        <v>200897090</v>
      </c>
      <c r="H900" s="2024"/>
    </row>
    <row r="901" spans="1:8" ht="15.75" customHeight="1" x14ac:dyDescent="0.25">
      <c r="A901" s="2017" t="s">
        <v>1817</v>
      </c>
      <c r="B901" s="2017" t="s">
        <v>1592</v>
      </c>
      <c r="C901" s="2017" t="s">
        <v>1642</v>
      </c>
      <c r="D901" s="2017" t="s">
        <v>1805</v>
      </c>
      <c r="E901" s="2017" t="s">
        <v>1623</v>
      </c>
      <c r="F901" s="2017" t="s">
        <v>1624</v>
      </c>
      <c r="G901" s="2018">
        <v>95734370</v>
      </c>
      <c r="H901" s="2024"/>
    </row>
    <row r="902" spans="1:8" ht="15.75" customHeight="1" x14ac:dyDescent="0.25">
      <c r="A902" s="2017" t="s">
        <v>1817</v>
      </c>
      <c r="B902" s="2017" t="s">
        <v>1592</v>
      </c>
      <c r="C902" s="2017" t="s">
        <v>1642</v>
      </c>
      <c r="D902" s="2017" t="s">
        <v>1805</v>
      </c>
      <c r="E902" s="2017" t="s">
        <v>1623</v>
      </c>
      <c r="F902" s="2017" t="s">
        <v>1639</v>
      </c>
      <c r="G902" s="2018">
        <v>23750000</v>
      </c>
      <c r="H902" s="2024"/>
    </row>
    <row r="903" spans="1:8" ht="15.75" customHeight="1" x14ac:dyDescent="0.25">
      <c r="A903" s="2017" t="s">
        <v>1817</v>
      </c>
      <c r="B903" s="2017" t="s">
        <v>1592</v>
      </c>
      <c r="C903" s="2017" t="s">
        <v>1642</v>
      </c>
      <c r="D903" s="2017" t="s">
        <v>1805</v>
      </c>
      <c r="E903" s="2017" t="s">
        <v>1623</v>
      </c>
      <c r="F903" s="2017" t="s">
        <v>1634</v>
      </c>
      <c r="G903" s="2018">
        <v>81412720</v>
      </c>
      <c r="H903" s="2024"/>
    </row>
    <row r="904" spans="1:8" ht="15.75" customHeight="1" x14ac:dyDescent="0.25">
      <c r="A904" s="2017" t="s">
        <v>1817</v>
      </c>
      <c r="B904" s="2017" t="s">
        <v>1592</v>
      </c>
      <c r="C904" s="2017" t="s">
        <v>1642</v>
      </c>
      <c r="D904" s="2017" t="s">
        <v>1805</v>
      </c>
      <c r="E904" s="2017" t="s">
        <v>1652</v>
      </c>
      <c r="F904" s="2017" t="s">
        <v>1646</v>
      </c>
      <c r="G904" s="2018">
        <v>8483743</v>
      </c>
      <c r="H904" s="2024"/>
    </row>
    <row r="905" spans="1:8" ht="15.75" customHeight="1" x14ac:dyDescent="0.25">
      <c r="A905" s="2017" t="s">
        <v>1817</v>
      </c>
      <c r="B905" s="2017" t="s">
        <v>1592</v>
      </c>
      <c r="C905" s="2017" t="s">
        <v>1642</v>
      </c>
      <c r="D905" s="2017" t="s">
        <v>1805</v>
      </c>
      <c r="E905" s="2017" t="s">
        <v>1652</v>
      </c>
      <c r="F905" s="2017" t="s">
        <v>1755</v>
      </c>
      <c r="G905" s="2018">
        <v>8483743</v>
      </c>
      <c r="H905" s="2024"/>
    </row>
    <row r="906" spans="1:8" ht="15.75" customHeight="1" x14ac:dyDescent="0.25">
      <c r="A906" s="2017" t="s">
        <v>1817</v>
      </c>
      <c r="B906" s="2017" t="s">
        <v>1592</v>
      </c>
      <c r="C906" s="2017" t="s">
        <v>1642</v>
      </c>
      <c r="D906" s="2017" t="s">
        <v>1805</v>
      </c>
      <c r="E906" s="2017" t="s">
        <v>1609</v>
      </c>
      <c r="F906" s="2017" t="s">
        <v>1646</v>
      </c>
      <c r="G906" s="2018">
        <v>1001740707</v>
      </c>
      <c r="H906" s="2024"/>
    </row>
    <row r="907" spans="1:8" ht="15.75" customHeight="1" x14ac:dyDescent="0.25">
      <c r="A907" s="2017" t="s">
        <v>1817</v>
      </c>
      <c r="B907" s="2017" t="s">
        <v>1592</v>
      </c>
      <c r="C907" s="2017" t="s">
        <v>1642</v>
      </c>
      <c r="D907" s="2017" t="s">
        <v>1805</v>
      </c>
      <c r="E907" s="2017" t="s">
        <v>1609</v>
      </c>
      <c r="F907" s="2017" t="s">
        <v>1610</v>
      </c>
      <c r="G907" s="2018">
        <v>110737216</v>
      </c>
      <c r="H907" s="2024"/>
    </row>
    <row r="908" spans="1:8" ht="15.75" customHeight="1" x14ac:dyDescent="0.25">
      <c r="A908" s="2017" t="s">
        <v>1817</v>
      </c>
      <c r="B908" s="2017" t="s">
        <v>1592</v>
      </c>
      <c r="C908" s="2017" t="s">
        <v>1642</v>
      </c>
      <c r="D908" s="2017" t="s">
        <v>1805</v>
      </c>
      <c r="E908" s="2017" t="s">
        <v>1609</v>
      </c>
      <c r="F908" s="2017" t="s">
        <v>1611</v>
      </c>
      <c r="G908" s="2018">
        <v>600000</v>
      </c>
      <c r="H908" s="2024"/>
    </row>
    <row r="909" spans="1:8" ht="15.75" customHeight="1" x14ac:dyDescent="0.25">
      <c r="A909" s="2017" t="s">
        <v>1817</v>
      </c>
      <c r="B909" s="2017" t="s">
        <v>1592</v>
      </c>
      <c r="C909" s="2017" t="s">
        <v>1642</v>
      </c>
      <c r="D909" s="2017" t="s">
        <v>1805</v>
      </c>
      <c r="E909" s="2017" t="s">
        <v>1609</v>
      </c>
      <c r="F909" s="2017" t="s">
        <v>1832</v>
      </c>
      <c r="G909" s="2018">
        <v>22500000</v>
      </c>
      <c r="H909" s="2024"/>
    </row>
    <row r="910" spans="1:8" ht="15.75" customHeight="1" x14ac:dyDescent="0.25">
      <c r="A910" s="2017" t="s">
        <v>1817</v>
      </c>
      <c r="B910" s="2017" t="s">
        <v>1592</v>
      </c>
      <c r="C910" s="2017" t="s">
        <v>1642</v>
      </c>
      <c r="D910" s="2017" t="s">
        <v>1805</v>
      </c>
      <c r="E910" s="2017" t="s">
        <v>1609</v>
      </c>
      <c r="F910" s="2017" t="s">
        <v>1625</v>
      </c>
      <c r="G910" s="2018">
        <v>10420000</v>
      </c>
      <c r="H910" s="2024"/>
    </row>
    <row r="911" spans="1:8" ht="15.75" customHeight="1" x14ac:dyDescent="0.25">
      <c r="A911" s="2017" t="s">
        <v>1817</v>
      </c>
      <c r="B911" s="2017" t="s">
        <v>1592</v>
      </c>
      <c r="C911" s="2017" t="s">
        <v>1642</v>
      </c>
      <c r="D911" s="2017" t="s">
        <v>1805</v>
      </c>
      <c r="E911" s="2017" t="s">
        <v>1609</v>
      </c>
      <c r="F911" s="2017" t="s">
        <v>1828</v>
      </c>
      <c r="G911" s="2018">
        <v>97377600</v>
      </c>
      <c r="H911" s="2024"/>
    </row>
    <row r="912" spans="1:8" ht="15.75" customHeight="1" x14ac:dyDescent="0.25">
      <c r="A912" s="2017" t="s">
        <v>1817</v>
      </c>
      <c r="B912" s="2017" t="s">
        <v>1592</v>
      </c>
      <c r="C912" s="2017" t="s">
        <v>1642</v>
      </c>
      <c r="D912" s="2017" t="s">
        <v>1805</v>
      </c>
      <c r="E912" s="2017" t="s">
        <v>1609</v>
      </c>
      <c r="F912" s="2017" t="s">
        <v>1612</v>
      </c>
      <c r="G912" s="2018">
        <v>760105891</v>
      </c>
      <c r="H912" s="2024"/>
    </row>
    <row r="913" spans="1:8" ht="15.75" customHeight="1" x14ac:dyDescent="0.25">
      <c r="A913" s="2017" t="s">
        <v>1817</v>
      </c>
      <c r="B913" s="2017" t="s">
        <v>1592</v>
      </c>
      <c r="C913" s="2017" t="s">
        <v>1642</v>
      </c>
      <c r="D913" s="2017" t="s">
        <v>1805</v>
      </c>
      <c r="E913" s="2017" t="s">
        <v>1660</v>
      </c>
      <c r="F913" s="2017" t="s">
        <v>1646</v>
      </c>
      <c r="G913" s="2018">
        <v>44580000</v>
      </c>
      <c r="H913" s="2024"/>
    </row>
    <row r="914" spans="1:8" ht="15.75" customHeight="1" x14ac:dyDescent="0.25">
      <c r="A914" s="2017" t="s">
        <v>1817</v>
      </c>
      <c r="B914" s="2017" t="s">
        <v>1592</v>
      </c>
      <c r="C914" s="2017" t="s">
        <v>1642</v>
      </c>
      <c r="D914" s="2017" t="s">
        <v>1805</v>
      </c>
      <c r="E914" s="2017" t="s">
        <v>1660</v>
      </c>
      <c r="F914" s="2017" t="s">
        <v>1756</v>
      </c>
      <c r="G914" s="2018">
        <v>6880000</v>
      </c>
      <c r="H914" s="2024"/>
    </row>
    <row r="915" spans="1:8" ht="15.75" customHeight="1" x14ac:dyDescent="0.25">
      <c r="A915" s="2017" t="s">
        <v>1817</v>
      </c>
      <c r="B915" s="2017" t="s">
        <v>1592</v>
      </c>
      <c r="C915" s="2017" t="s">
        <v>1642</v>
      </c>
      <c r="D915" s="2017" t="s">
        <v>1805</v>
      </c>
      <c r="E915" s="2017" t="s">
        <v>1660</v>
      </c>
      <c r="F915" s="2017" t="s">
        <v>1661</v>
      </c>
      <c r="G915" s="2018">
        <v>16150000</v>
      </c>
      <c r="H915" s="2024"/>
    </row>
    <row r="916" spans="1:8" ht="15.75" customHeight="1" x14ac:dyDescent="0.25">
      <c r="A916" s="2017" t="s">
        <v>1817</v>
      </c>
      <c r="B916" s="2017" t="s">
        <v>1592</v>
      </c>
      <c r="C916" s="2017" t="s">
        <v>1642</v>
      </c>
      <c r="D916" s="2017" t="s">
        <v>1805</v>
      </c>
      <c r="E916" s="2017" t="s">
        <v>1660</v>
      </c>
      <c r="F916" s="2017" t="s">
        <v>1662</v>
      </c>
      <c r="G916" s="2018">
        <v>12350000</v>
      </c>
      <c r="H916" s="2024"/>
    </row>
    <row r="917" spans="1:8" ht="15.75" customHeight="1" x14ac:dyDescent="0.25">
      <c r="A917" s="2017" t="s">
        <v>1817</v>
      </c>
      <c r="B917" s="2017" t="s">
        <v>1592</v>
      </c>
      <c r="C917" s="2017" t="s">
        <v>1642</v>
      </c>
      <c r="D917" s="2017" t="s">
        <v>1805</v>
      </c>
      <c r="E917" s="2017" t="s">
        <v>1660</v>
      </c>
      <c r="F917" s="2017" t="s">
        <v>1768</v>
      </c>
      <c r="G917" s="2018">
        <v>9200000</v>
      </c>
      <c r="H917" s="2024"/>
    </row>
    <row r="918" spans="1:8" ht="15.75" customHeight="1" x14ac:dyDescent="0.25">
      <c r="A918" s="2017" t="s">
        <v>1817</v>
      </c>
      <c r="B918" s="2017" t="s">
        <v>1592</v>
      </c>
      <c r="C918" s="2017" t="s">
        <v>1642</v>
      </c>
      <c r="D918" s="2017" t="s">
        <v>1805</v>
      </c>
      <c r="E918" s="2017" t="s">
        <v>1654</v>
      </c>
      <c r="F918" s="2017" t="s">
        <v>1646</v>
      </c>
      <c r="G918" s="2018">
        <v>86735000</v>
      </c>
      <c r="H918" s="2024"/>
    </row>
    <row r="919" spans="1:8" ht="15.75" customHeight="1" x14ac:dyDescent="0.25">
      <c r="A919" s="2017" t="s">
        <v>1817</v>
      </c>
      <c r="B919" s="2017" t="s">
        <v>1592</v>
      </c>
      <c r="C919" s="2017" t="s">
        <v>1642</v>
      </c>
      <c r="D919" s="2017" t="s">
        <v>1805</v>
      </c>
      <c r="E919" s="2017" t="s">
        <v>1654</v>
      </c>
      <c r="F919" s="2017" t="s">
        <v>1663</v>
      </c>
      <c r="G919" s="2018">
        <v>42740000</v>
      </c>
      <c r="H919" s="2024"/>
    </row>
    <row r="920" spans="1:8" ht="15.75" customHeight="1" x14ac:dyDescent="0.25">
      <c r="A920" s="2017" t="s">
        <v>1817</v>
      </c>
      <c r="B920" s="2017" t="s">
        <v>1592</v>
      </c>
      <c r="C920" s="2017" t="s">
        <v>1642</v>
      </c>
      <c r="D920" s="2017" t="s">
        <v>1805</v>
      </c>
      <c r="E920" s="2017" t="s">
        <v>1654</v>
      </c>
      <c r="F920" s="2017" t="s">
        <v>1771</v>
      </c>
      <c r="G920" s="2018">
        <v>22250000</v>
      </c>
      <c r="H920" s="2024"/>
    </row>
    <row r="921" spans="1:8" ht="15.75" customHeight="1" x14ac:dyDescent="0.25">
      <c r="A921" s="2017" t="s">
        <v>1817</v>
      </c>
      <c r="B921" s="2017" t="s">
        <v>1592</v>
      </c>
      <c r="C921" s="2017" t="s">
        <v>1642</v>
      </c>
      <c r="D921" s="2017" t="s">
        <v>1805</v>
      </c>
      <c r="E921" s="2017" t="s">
        <v>1654</v>
      </c>
      <c r="F921" s="2017" t="s">
        <v>1655</v>
      </c>
      <c r="G921" s="2018">
        <v>21745000</v>
      </c>
      <c r="H921" s="2024"/>
    </row>
    <row r="922" spans="1:8" ht="15.75" customHeight="1" x14ac:dyDescent="0.25">
      <c r="A922" s="2017" t="s">
        <v>1817</v>
      </c>
      <c r="B922" s="2017" t="s">
        <v>1592</v>
      </c>
      <c r="C922" s="2017" t="s">
        <v>1642</v>
      </c>
      <c r="D922" s="2017" t="s">
        <v>1805</v>
      </c>
      <c r="E922" s="2017" t="s">
        <v>1602</v>
      </c>
      <c r="F922" s="2017" t="s">
        <v>1646</v>
      </c>
      <c r="G922" s="2018">
        <v>36940000</v>
      </c>
      <c r="H922" s="2024"/>
    </row>
    <row r="923" spans="1:8" ht="15.75" customHeight="1" x14ac:dyDescent="0.25">
      <c r="A923" s="2017" t="s">
        <v>1817</v>
      </c>
      <c r="B923" s="2017" t="s">
        <v>1592</v>
      </c>
      <c r="C923" s="2017" t="s">
        <v>1642</v>
      </c>
      <c r="D923" s="2017" t="s">
        <v>1805</v>
      </c>
      <c r="E923" s="2017" t="s">
        <v>1602</v>
      </c>
      <c r="F923" s="2017" t="s">
        <v>1680</v>
      </c>
      <c r="G923" s="2018">
        <v>21265000</v>
      </c>
      <c r="H923" s="2024"/>
    </row>
    <row r="924" spans="1:8" ht="15.75" customHeight="1" x14ac:dyDescent="0.25">
      <c r="A924" s="2017" t="s">
        <v>1817</v>
      </c>
      <c r="B924" s="2017" t="s">
        <v>1592</v>
      </c>
      <c r="C924" s="2017" t="s">
        <v>1642</v>
      </c>
      <c r="D924" s="2017" t="s">
        <v>1805</v>
      </c>
      <c r="E924" s="2017" t="s">
        <v>1602</v>
      </c>
      <c r="F924" s="2017" t="s">
        <v>1759</v>
      </c>
      <c r="G924" s="2018">
        <v>7500000</v>
      </c>
      <c r="H924" s="2024"/>
    </row>
    <row r="925" spans="1:8" ht="15.75" customHeight="1" x14ac:dyDescent="0.25">
      <c r="A925" s="2017" t="s">
        <v>1817</v>
      </c>
      <c r="B925" s="2017" t="s">
        <v>1592</v>
      </c>
      <c r="C925" s="2017" t="s">
        <v>1642</v>
      </c>
      <c r="D925" s="2017" t="s">
        <v>1805</v>
      </c>
      <c r="E925" s="2017" t="s">
        <v>1602</v>
      </c>
      <c r="F925" s="2017" t="s">
        <v>1760</v>
      </c>
      <c r="G925" s="2018">
        <v>8175000</v>
      </c>
      <c r="H925" s="2024"/>
    </row>
    <row r="926" spans="1:8" ht="15.75" customHeight="1" x14ac:dyDescent="0.25">
      <c r="A926" s="2017" t="s">
        <v>1817</v>
      </c>
      <c r="B926" s="2017" t="s">
        <v>1592</v>
      </c>
      <c r="C926" s="2017" t="s">
        <v>1642</v>
      </c>
      <c r="D926" s="2017" t="s">
        <v>1805</v>
      </c>
      <c r="E926" s="2017" t="s">
        <v>1618</v>
      </c>
      <c r="F926" s="2017" t="s">
        <v>1646</v>
      </c>
      <c r="G926" s="2018">
        <v>318256120</v>
      </c>
      <c r="H926" s="2024"/>
    </row>
    <row r="927" spans="1:8" ht="15.75" customHeight="1" x14ac:dyDescent="0.25">
      <c r="A927" s="2017" t="s">
        <v>1817</v>
      </c>
      <c r="B927" s="2017" t="s">
        <v>1592</v>
      </c>
      <c r="C927" s="2017" t="s">
        <v>1642</v>
      </c>
      <c r="D927" s="2017" t="s">
        <v>1805</v>
      </c>
      <c r="E927" s="2017" t="s">
        <v>1618</v>
      </c>
      <c r="F927" s="2017" t="s">
        <v>1619</v>
      </c>
      <c r="G927" s="2018">
        <v>6850000</v>
      </c>
      <c r="H927" s="2024"/>
    </row>
    <row r="928" spans="1:8" ht="15.75" customHeight="1" x14ac:dyDescent="0.25">
      <c r="A928" s="2017" t="s">
        <v>1817</v>
      </c>
      <c r="B928" s="2017" t="s">
        <v>1592</v>
      </c>
      <c r="C928" s="2017" t="s">
        <v>1642</v>
      </c>
      <c r="D928" s="2017" t="s">
        <v>1805</v>
      </c>
      <c r="E928" s="2017" t="s">
        <v>1618</v>
      </c>
      <c r="F928" s="2017" t="s">
        <v>1622</v>
      </c>
      <c r="G928" s="2018">
        <v>311406120</v>
      </c>
      <c r="H928" s="2024"/>
    </row>
    <row r="929" spans="1:8" ht="15.75" customHeight="1" x14ac:dyDescent="0.25">
      <c r="A929" s="2017" t="s">
        <v>1817</v>
      </c>
      <c r="B929" s="2017" t="s">
        <v>1592</v>
      </c>
      <c r="C929" s="2017" t="s">
        <v>1642</v>
      </c>
      <c r="D929" s="2017" t="s">
        <v>1805</v>
      </c>
      <c r="E929" s="2017" t="s">
        <v>1791</v>
      </c>
      <c r="F929" s="2017" t="s">
        <v>1646</v>
      </c>
      <c r="G929" s="2018">
        <v>11000000</v>
      </c>
      <c r="H929" s="2024"/>
    </row>
    <row r="930" spans="1:8" ht="15.75" customHeight="1" x14ac:dyDescent="0.25">
      <c r="A930" s="2017" t="s">
        <v>1817</v>
      </c>
      <c r="B930" s="2017" t="s">
        <v>1592</v>
      </c>
      <c r="C930" s="2017" t="s">
        <v>1642</v>
      </c>
      <c r="D930" s="2017" t="s">
        <v>1805</v>
      </c>
      <c r="E930" s="2017" t="s">
        <v>1791</v>
      </c>
      <c r="F930" s="2017" t="s">
        <v>1792</v>
      </c>
      <c r="G930" s="2018">
        <v>11000000</v>
      </c>
      <c r="H930" s="2024"/>
    </row>
    <row r="931" spans="1:8" ht="15.75" customHeight="1" x14ac:dyDescent="0.25">
      <c r="A931" s="2017" t="s">
        <v>1817</v>
      </c>
      <c r="B931" s="2017" t="s">
        <v>1592</v>
      </c>
      <c r="C931" s="2017" t="s">
        <v>1642</v>
      </c>
      <c r="D931" s="2017" t="s">
        <v>1805</v>
      </c>
      <c r="E931" s="2017" t="s">
        <v>1615</v>
      </c>
      <c r="F931" s="2017" t="s">
        <v>1646</v>
      </c>
      <c r="G931" s="2018">
        <v>483877318</v>
      </c>
      <c r="H931" s="2024"/>
    </row>
    <row r="932" spans="1:8" ht="15.75" customHeight="1" x14ac:dyDescent="0.25">
      <c r="A932" s="2017" t="s">
        <v>1817</v>
      </c>
      <c r="B932" s="2017" t="s">
        <v>1592</v>
      </c>
      <c r="C932" s="2017" t="s">
        <v>1642</v>
      </c>
      <c r="D932" s="2017" t="s">
        <v>1805</v>
      </c>
      <c r="E932" s="2017" t="s">
        <v>1615</v>
      </c>
      <c r="F932" s="2017" t="s">
        <v>1763</v>
      </c>
      <c r="G932" s="2018">
        <v>83891518</v>
      </c>
      <c r="H932" s="2024"/>
    </row>
    <row r="933" spans="1:8" ht="15.75" customHeight="1" x14ac:dyDescent="0.25">
      <c r="A933" s="2017" t="s">
        <v>1817</v>
      </c>
      <c r="B933" s="2017" t="s">
        <v>1592</v>
      </c>
      <c r="C933" s="2017" t="s">
        <v>1642</v>
      </c>
      <c r="D933" s="2017" t="s">
        <v>1805</v>
      </c>
      <c r="E933" s="2017" t="s">
        <v>1615</v>
      </c>
      <c r="F933" s="2017" t="s">
        <v>1616</v>
      </c>
      <c r="G933" s="2018">
        <v>399985800</v>
      </c>
      <c r="H933" s="2024"/>
    </row>
    <row r="934" spans="1:8" ht="15.75" customHeight="1" x14ac:dyDescent="0.25">
      <c r="A934" s="2017" t="s">
        <v>1817</v>
      </c>
      <c r="B934" s="2017" t="s">
        <v>1592</v>
      </c>
      <c r="C934" s="2017" t="s">
        <v>1642</v>
      </c>
      <c r="D934" s="2017" t="s">
        <v>1805</v>
      </c>
      <c r="E934" s="2017" t="s">
        <v>1801</v>
      </c>
      <c r="F934" s="2017" t="s">
        <v>1646</v>
      </c>
      <c r="G934" s="2018">
        <v>12624000</v>
      </c>
      <c r="H934" s="2024"/>
    </row>
    <row r="935" spans="1:8" ht="15.75" customHeight="1" x14ac:dyDescent="0.25">
      <c r="A935" s="2017" t="s">
        <v>1817</v>
      </c>
      <c r="B935" s="2017" t="s">
        <v>1592</v>
      </c>
      <c r="C935" s="2017" t="s">
        <v>1642</v>
      </c>
      <c r="D935" s="2017" t="s">
        <v>1805</v>
      </c>
      <c r="E935" s="2017" t="s">
        <v>1801</v>
      </c>
      <c r="F935" s="2017" t="s">
        <v>1803</v>
      </c>
      <c r="G935" s="2018">
        <v>4200000</v>
      </c>
      <c r="H935" s="2024"/>
    </row>
    <row r="936" spans="1:8" ht="15.75" customHeight="1" x14ac:dyDescent="0.25">
      <c r="A936" s="2017" t="s">
        <v>1817</v>
      </c>
      <c r="B936" s="2017" t="s">
        <v>1592</v>
      </c>
      <c r="C936" s="2017" t="s">
        <v>1642</v>
      </c>
      <c r="D936" s="2017" t="s">
        <v>1805</v>
      </c>
      <c r="E936" s="2017" t="s">
        <v>1801</v>
      </c>
      <c r="F936" s="2017" t="s">
        <v>1804</v>
      </c>
      <c r="G936" s="2018">
        <v>8424000</v>
      </c>
      <c r="H936" s="2024"/>
    </row>
    <row r="937" spans="1:8" ht="15.75" customHeight="1" x14ac:dyDescent="0.25">
      <c r="A937" s="2017" t="s">
        <v>1817</v>
      </c>
      <c r="B937" s="2017" t="s">
        <v>1592</v>
      </c>
      <c r="C937" s="2017" t="s">
        <v>1642</v>
      </c>
      <c r="D937" s="2017" t="s">
        <v>1805</v>
      </c>
      <c r="E937" s="2017" t="s">
        <v>1795</v>
      </c>
      <c r="F937" s="2017" t="s">
        <v>1646</v>
      </c>
      <c r="G937" s="2018">
        <v>413384200</v>
      </c>
      <c r="H937" s="2024"/>
    </row>
    <row r="938" spans="1:8" ht="15.75" customHeight="1" x14ac:dyDescent="0.25">
      <c r="A938" s="2017" t="s">
        <v>1817</v>
      </c>
      <c r="B938" s="2017" t="s">
        <v>1592</v>
      </c>
      <c r="C938" s="2017" t="s">
        <v>1642</v>
      </c>
      <c r="D938" s="2017" t="s">
        <v>1805</v>
      </c>
      <c r="E938" s="2017" t="s">
        <v>1795</v>
      </c>
      <c r="F938" s="2017" t="s">
        <v>1796</v>
      </c>
      <c r="G938" s="2018">
        <v>377406700</v>
      </c>
      <c r="H938" s="2024"/>
    </row>
    <row r="939" spans="1:8" ht="15.75" customHeight="1" x14ac:dyDescent="0.25">
      <c r="A939" s="2017" t="s">
        <v>1817</v>
      </c>
      <c r="B939" s="2017" t="s">
        <v>1592</v>
      </c>
      <c r="C939" s="2017" t="s">
        <v>1642</v>
      </c>
      <c r="D939" s="2017" t="s">
        <v>1805</v>
      </c>
      <c r="E939" s="2017" t="s">
        <v>1795</v>
      </c>
      <c r="F939" s="2017" t="s">
        <v>1797</v>
      </c>
      <c r="G939" s="2018">
        <v>35977500</v>
      </c>
      <c r="H939" s="2024"/>
    </row>
    <row r="940" spans="1:8" ht="15.75" customHeight="1" x14ac:dyDescent="0.25">
      <c r="A940" s="2017" t="s">
        <v>1817</v>
      </c>
      <c r="B940" s="2017" t="s">
        <v>1592</v>
      </c>
      <c r="C940" s="2017" t="s">
        <v>1642</v>
      </c>
      <c r="D940" s="2017" t="s">
        <v>1848</v>
      </c>
      <c r="E940" s="2017" t="s">
        <v>1646</v>
      </c>
      <c r="F940" s="2017" t="s">
        <v>1646</v>
      </c>
      <c r="G940" s="2018">
        <v>790475560</v>
      </c>
      <c r="H940" s="2024"/>
    </row>
    <row r="941" spans="1:8" ht="15.75" customHeight="1" x14ac:dyDescent="0.25">
      <c r="A941" s="2017" t="s">
        <v>1817</v>
      </c>
      <c r="B941" s="2017" t="s">
        <v>1592</v>
      </c>
      <c r="C941" s="2017" t="s">
        <v>1642</v>
      </c>
      <c r="D941" s="2017" t="s">
        <v>1848</v>
      </c>
      <c r="E941" s="2017" t="s">
        <v>1730</v>
      </c>
      <c r="F941" s="2017" t="s">
        <v>1646</v>
      </c>
      <c r="G941" s="2018">
        <v>51386400</v>
      </c>
      <c r="H941" s="2024"/>
    </row>
    <row r="942" spans="1:8" ht="15.75" customHeight="1" x14ac:dyDescent="0.25">
      <c r="A942" s="2017" t="s">
        <v>1817</v>
      </c>
      <c r="B942" s="2017" t="s">
        <v>1592</v>
      </c>
      <c r="C942" s="2017" t="s">
        <v>1642</v>
      </c>
      <c r="D942" s="2017" t="s">
        <v>1848</v>
      </c>
      <c r="E942" s="2017" t="s">
        <v>1730</v>
      </c>
      <c r="F942" s="2017" t="s">
        <v>1731</v>
      </c>
      <c r="G942" s="2018">
        <v>51386400</v>
      </c>
      <c r="H942" s="2024"/>
    </row>
    <row r="943" spans="1:8" ht="15.75" customHeight="1" x14ac:dyDescent="0.25">
      <c r="A943" s="2017" t="s">
        <v>1817</v>
      </c>
      <c r="B943" s="2017" t="s">
        <v>1592</v>
      </c>
      <c r="C943" s="2017" t="s">
        <v>1642</v>
      </c>
      <c r="D943" s="2017" t="s">
        <v>1848</v>
      </c>
      <c r="E943" s="2017" t="s">
        <v>1607</v>
      </c>
      <c r="F943" s="2017" t="s">
        <v>1646</v>
      </c>
      <c r="G943" s="2018">
        <v>247806000</v>
      </c>
      <c r="H943" s="2024"/>
    </row>
    <row r="944" spans="1:8" ht="15.75" customHeight="1" x14ac:dyDescent="0.25">
      <c r="A944" s="2017" t="s">
        <v>1817</v>
      </c>
      <c r="B944" s="2017" t="s">
        <v>1592</v>
      </c>
      <c r="C944" s="2017" t="s">
        <v>1642</v>
      </c>
      <c r="D944" s="2017" t="s">
        <v>1848</v>
      </c>
      <c r="E944" s="2017" t="s">
        <v>1607</v>
      </c>
      <c r="F944" s="2017" t="s">
        <v>1734</v>
      </c>
      <c r="G944" s="2018">
        <v>3510000</v>
      </c>
      <c r="H944" s="2024"/>
    </row>
    <row r="945" spans="1:8" ht="15.75" customHeight="1" x14ac:dyDescent="0.25">
      <c r="A945" s="2017" t="s">
        <v>1817</v>
      </c>
      <c r="B945" s="2017" t="s">
        <v>1592</v>
      </c>
      <c r="C945" s="2017" t="s">
        <v>1642</v>
      </c>
      <c r="D945" s="2017" t="s">
        <v>1848</v>
      </c>
      <c r="E945" s="2017" t="s">
        <v>1607</v>
      </c>
      <c r="F945" s="2017" t="s">
        <v>1735</v>
      </c>
      <c r="G945" s="2018">
        <v>4212000</v>
      </c>
      <c r="H945" s="2024"/>
    </row>
    <row r="946" spans="1:8" ht="15.75" customHeight="1" x14ac:dyDescent="0.25">
      <c r="A946" s="2017" t="s">
        <v>1817</v>
      </c>
      <c r="B946" s="2017" t="s">
        <v>1592</v>
      </c>
      <c r="C946" s="2017" t="s">
        <v>1642</v>
      </c>
      <c r="D946" s="2017" t="s">
        <v>1848</v>
      </c>
      <c r="E946" s="2017" t="s">
        <v>1607</v>
      </c>
      <c r="F946" s="2017" t="s">
        <v>1738</v>
      </c>
      <c r="G946" s="2018">
        <v>240084000</v>
      </c>
      <c r="H946" s="2024"/>
    </row>
    <row r="947" spans="1:8" ht="15.75" customHeight="1" x14ac:dyDescent="0.25">
      <c r="A947" s="2017" t="s">
        <v>1817</v>
      </c>
      <c r="B947" s="2017" t="s">
        <v>1592</v>
      </c>
      <c r="C947" s="2017" t="s">
        <v>1642</v>
      </c>
      <c r="D947" s="2017" t="s">
        <v>1848</v>
      </c>
      <c r="E947" s="2017" t="s">
        <v>1741</v>
      </c>
      <c r="F947" s="2017" t="s">
        <v>1646</v>
      </c>
      <c r="G947" s="2018">
        <v>3850000</v>
      </c>
      <c r="H947" s="2024"/>
    </row>
    <row r="948" spans="1:8" ht="15.75" customHeight="1" x14ac:dyDescent="0.25">
      <c r="A948" s="2017" t="s">
        <v>1817</v>
      </c>
      <c r="B948" s="2017" t="s">
        <v>1592</v>
      </c>
      <c r="C948" s="2017" t="s">
        <v>1642</v>
      </c>
      <c r="D948" s="2017" t="s">
        <v>1848</v>
      </c>
      <c r="E948" s="2017" t="s">
        <v>1741</v>
      </c>
      <c r="F948" s="2017" t="s">
        <v>1782</v>
      </c>
      <c r="G948" s="2018">
        <v>3850000</v>
      </c>
      <c r="H948" s="2024"/>
    </row>
    <row r="949" spans="1:8" ht="15.75" customHeight="1" x14ac:dyDescent="0.25">
      <c r="A949" s="2017" t="s">
        <v>1817</v>
      </c>
      <c r="B949" s="2017" t="s">
        <v>1592</v>
      </c>
      <c r="C949" s="2017" t="s">
        <v>1642</v>
      </c>
      <c r="D949" s="2017" t="s">
        <v>1848</v>
      </c>
      <c r="E949" s="2017" t="s">
        <v>1743</v>
      </c>
      <c r="F949" s="2017" t="s">
        <v>1646</v>
      </c>
      <c r="G949" s="2018">
        <v>11222658</v>
      </c>
      <c r="H949" s="2024"/>
    </row>
    <row r="950" spans="1:8" ht="15.75" customHeight="1" x14ac:dyDescent="0.25">
      <c r="A950" s="2017" t="s">
        <v>1817</v>
      </c>
      <c r="B950" s="2017" t="s">
        <v>1592</v>
      </c>
      <c r="C950" s="2017" t="s">
        <v>1642</v>
      </c>
      <c r="D950" s="2017" t="s">
        <v>1848</v>
      </c>
      <c r="E950" s="2017" t="s">
        <v>1743</v>
      </c>
      <c r="F950" s="2017" t="s">
        <v>1744</v>
      </c>
      <c r="G950" s="2018">
        <v>8660826</v>
      </c>
      <c r="H950" s="2024"/>
    </row>
    <row r="951" spans="1:8" ht="15.75" customHeight="1" x14ac:dyDescent="0.25">
      <c r="A951" s="2017" t="s">
        <v>1817</v>
      </c>
      <c r="B951" s="2017" t="s">
        <v>1592</v>
      </c>
      <c r="C951" s="2017" t="s">
        <v>1642</v>
      </c>
      <c r="D951" s="2017" t="s">
        <v>1848</v>
      </c>
      <c r="E951" s="2017" t="s">
        <v>1743</v>
      </c>
      <c r="F951" s="2017" t="s">
        <v>1745</v>
      </c>
      <c r="G951" s="2018">
        <v>1646892</v>
      </c>
      <c r="H951" s="2024"/>
    </row>
    <row r="952" spans="1:8" ht="15.75" customHeight="1" x14ac:dyDescent="0.25">
      <c r="A952" s="2017" t="s">
        <v>1817</v>
      </c>
      <c r="B952" s="2017" t="s">
        <v>1592</v>
      </c>
      <c r="C952" s="2017" t="s">
        <v>1642</v>
      </c>
      <c r="D952" s="2017" t="s">
        <v>1848</v>
      </c>
      <c r="E952" s="2017" t="s">
        <v>1743</v>
      </c>
      <c r="F952" s="2017" t="s">
        <v>1746</v>
      </c>
      <c r="G952" s="2018">
        <v>914940</v>
      </c>
      <c r="H952" s="2024"/>
    </row>
    <row r="953" spans="1:8" ht="15.75" customHeight="1" x14ac:dyDescent="0.25">
      <c r="A953" s="2017" t="s">
        <v>1817</v>
      </c>
      <c r="B953" s="2017" t="s">
        <v>1592</v>
      </c>
      <c r="C953" s="2017" t="s">
        <v>1642</v>
      </c>
      <c r="D953" s="2017" t="s">
        <v>1848</v>
      </c>
      <c r="E953" s="2017" t="s">
        <v>1727</v>
      </c>
      <c r="F953" s="2017" t="s">
        <v>1646</v>
      </c>
      <c r="G953" s="2018">
        <v>168876800</v>
      </c>
      <c r="H953" s="2024"/>
    </row>
    <row r="954" spans="1:8" ht="15.75" customHeight="1" x14ac:dyDescent="0.25">
      <c r="A954" s="2017" t="s">
        <v>1817</v>
      </c>
      <c r="B954" s="2017" t="s">
        <v>1592</v>
      </c>
      <c r="C954" s="2017" t="s">
        <v>1642</v>
      </c>
      <c r="D954" s="2017" t="s">
        <v>1848</v>
      </c>
      <c r="E954" s="2017" t="s">
        <v>1727</v>
      </c>
      <c r="F954" s="2017" t="s">
        <v>1786</v>
      </c>
      <c r="G954" s="2018">
        <v>106876800</v>
      </c>
      <c r="H954" s="2024"/>
    </row>
    <row r="955" spans="1:8" ht="15.75" customHeight="1" x14ac:dyDescent="0.25">
      <c r="A955" s="2017" t="s">
        <v>1817</v>
      </c>
      <c r="B955" s="2017" t="s">
        <v>1592</v>
      </c>
      <c r="C955" s="2017" t="s">
        <v>1642</v>
      </c>
      <c r="D955" s="2017" t="s">
        <v>1848</v>
      </c>
      <c r="E955" s="2017" t="s">
        <v>1727</v>
      </c>
      <c r="F955" s="2017" t="s">
        <v>1728</v>
      </c>
      <c r="G955" s="2018">
        <v>62000000</v>
      </c>
      <c r="H955" s="2024"/>
    </row>
    <row r="956" spans="1:8" ht="15.75" customHeight="1" x14ac:dyDescent="0.25">
      <c r="A956" s="2017" t="s">
        <v>1817</v>
      </c>
      <c r="B956" s="2017" t="s">
        <v>1592</v>
      </c>
      <c r="C956" s="2017" t="s">
        <v>1642</v>
      </c>
      <c r="D956" s="2017" t="s">
        <v>1848</v>
      </c>
      <c r="E956" s="2017" t="s">
        <v>1751</v>
      </c>
      <c r="F956" s="2017" t="s">
        <v>1646</v>
      </c>
      <c r="G956" s="2018">
        <v>2314764</v>
      </c>
      <c r="H956" s="2024"/>
    </row>
    <row r="957" spans="1:8" ht="15.75" customHeight="1" x14ac:dyDescent="0.25">
      <c r="A957" s="2017" t="s">
        <v>1817</v>
      </c>
      <c r="B957" s="2017" t="s">
        <v>1592</v>
      </c>
      <c r="C957" s="2017" t="s">
        <v>1642</v>
      </c>
      <c r="D957" s="2017" t="s">
        <v>1848</v>
      </c>
      <c r="E957" s="2017" t="s">
        <v>1751</v>
      </c>
      <c r="F957" s="2017" t="s">
        <v>1752</v>
      </c>
      <c r="G957" s="2018">
        <v>2314764</v>
      </c>
      <c r="H957" s="2024"/>
    </row>
    <row r="958" spans="1:8" ht="15.75" customHeight="1" x14ac:dyDescent="0.25">
      <c r="A958" s="2017" t="s">
        <v>1817</v>
      </c>
      <c r="B958" s="2017" t="s">
        <v>1592</v>
      </c>
      <c r="C958" s="2017" t="s">
        <v>1642</v>
      </c>
      <c r="D958" s="2017" t="s">
        <v>1848</v>
      </c>
      <c r="E958" s="2017" t="s">
        <v>1623</v>
      </c>
      <c r="F958" s="2017" t="s">
        <v>1646</v>
      </c>
      <c r="G958" s="2018">
        <v>7042008</v>
      </c>
      <c r="H958" s="2024"/>
    </row>
    <row r="959" spans="1:8" ht="15.75" customHeight="1" x14ac:dyDescent="0.25">
      <c r="A959" s="2017" t="s">
        <v>1817</v>
      </c>
      <c r="B959" s="2017" t="s">
        <v>1592</v>
      </c>
      <c r="C959" s="2017" t="s">
        <v>1642</v>
      </c>
      <c r="D959" s="2017" t="s">
        <v>1848</v>
      </c>
      <c r="E959" s="2017" t="s">
        <v>1623</v>
      </c>
      <c r="F959" s="2017" t="s">
        <v>1624</v>
      </c>
      <c r="G959" s="2018">
        <v>4763008</v>
      </c>
      <c r="H959" s="2024"/>
    </row>
    <row r="960" spans="1:8" ht="15.75" customHeight="1" x14ac:dyDescent="0.25">
      <c r="A960" s="2017" t="s">
        <v>1817</v>
      </c>
      <c r="B960" s="2017" t="s">
        <v>1592</v>
      </c>
      <c r="C960" s="2017" t="s">
        <v>1642</v>
      </c>
      <c r="D960" s="2017" t="s">
        <v>1848</v>
      </c>
      <c r="E960" s="2017" t="s">
        <v>1623</v>
      </c>
      <c r="F960" s="2017" t="s">
        <v>1634</v>
      </c>
      <c r="G960" s="2018">
        <v>2279000</v>
      </c>
      <c r="H960" s="2024"/>
    </row>
    <row r="961" spans="1:8" ht="15.75" customHeight="1" x14ac:dyDescent="0.25">
      <c r="A961" s="2017" t="s">
        <v>1817</v>
      </c>
      <c r="B961" s="2017" t="s">
        <v>1592</v>
      </c>
      <c r="C961" s="2017" t="s">
        <v>1642</v>
      </c>
      <c r="D961" s="2017" t="s">
        <v>1848</v>
      </c>
      <c r="E961" s="2017" t="s">
        <v>1652</v>
      </c>
      <c r="F961" s="2017" t="s">
        <v>1646</v>
      </c>
      <c r="G961" s="2018">
        <v>200000</v>
      </c>
      <c r="H961" s="2024"/>
    </row>
    <row r="962" spans="1:8" ht="15.75" customHeight="1" x14ac:dyDescent="0.25">
      <c r="A962" s="2017" t="s">
        <v>1817</v>
      </c>
      <c r="B962" s="2017" t="s">
        <v>1592</v>
      </c>
      <c r="C962" s="2017" t="s">
        <v>1642</v>
      </c>
      <c r="D962" s="2017" t="s">
        <v>1848</v>
      </c>
      <c r="E962" s="2017" t="s">
        <v>1652</v>
      </c>
      <c r="F962" s="2017" t="s">
        <v>1788</v>
      </c>
      <c r="G962" s="2018">
        <v>200000</v>
      </c>
      <c r="H962" s="2024"/>
    </row>
    <row r="963" spans="1:8" ht="15.75" customHeight="1" x14ac:dyDescent="0.25">
      <c r="A963" s="2017" t="s">
        <v>1817</v>
      </c>
      <c r="B963" s="2017" t="s">
        <v>1592</v>
      </c>
      <c r="C963" s="2017" t="s">
        <v>1642</v>
      </c>
      <c r="D963" s="2017" t="s">
        <v>1848</v>
      </c>
      <c r="E963" s="2017" t="s">
        <v>1609</v>
      </c>
      <c r="F963" s="2017" t="s">
        <v>1646</v>
      </c>
      <c r="G963" s="2018">
        <v>50282090</v>
      </c>
      <c r="H963" s="2024"/>
    </row>
    <row r="964" spans="1:8" ht="15.75" customHeight="1" x14ac:dyDescent="0.25">
      <c r="A964" s="2017" t="s">
        <v>1817</v>
      </c>
      <c r="B964" s="2017" t="s">
        <v>1592</v>
      </c>
      <c r="C964" s="2017" t="s">
        <v>1642</v>
      </c>
      <c r="D964" s="2017" t="s">
        <v>1848</v>
      </c>
      <c r="E964" s="2017" t="s">
        <v>1609</v>
      </c>
      <c r="F964" s="2017" t="s">
        <v>1610</v>
      </c>
      <c r="G964" s="2018">
        <v>4873600</v>
      </c>
      <c r="H964" s="2024"/>
    </row>
    <row r="965" spans="1:8" ht="15.75" customHeight="1" x14ac:dyDescent="0.25">
      <c r="A965" s="2017" t="s">
        <v>1817</v>
      </c>
      <c r="B965" s="2017" t="s">
        <v>1592</v>
      </c>
      <c r="C965" s="2017" t="s">
        <v>1642</v>
      </c>
      <c r="D965" s="2017" t="s">
        <v>1848</v>
      </c>
      <c r="E965" s="2017" t="s">
        <v>1609</v>
      </c>
      <c r="F965" s="2017" t="s">
        <v>1612</v>
      </c>
      <c r="G965" s="2018">
        <v>45408490</v>
      </c>
      <c r="H965" s="2024"/>
    </row>
    <row r="966" spans="1:8" ht="15.75" customHeight="1" x14ac:dyDescent="0.25">
      <c r="A966" s="2017" t="s">
        <v>1817</v>
      </c>
      <c r="B966" s="2017" t="s">
        <v>1592</v>
      </c>
      <c r="C966" s="2017" t="s">
        <v>1642</v>
      </c>
      <c r="D966" s="2017" t="s">
        <v>1848</v>
      </c>
      <c r="E966" s="2017" t="s">
        <v>1660</v>
      </c>
      <c r="F966" s="2017" t="s">
        <v>1646</v>
      </c>
      <c r="G966" s="2018">
        <v>7800000</v>
      </c>
      <c r="H966" s="2024"/>
    </row>
    <row r="967" spans="1:8" ht="15.75" customHeight="1" x14ac:dyDescent="0.25">
      <c r="A967" s="2017" t="s">
        <v>1817</v>
      </c>
      <c r="B967" s="2017" t="s">
        <v>1592</v>
      </c>
      <c r="C967" s="2017" t="s">
        <v>1642</v>
      </c>
      <c r="D967" s="2017" t="s">
        <v>1848</v>
      </c>
      <c r="E967" s="2017" t="s">
        <v>1660</v>
      </c>
      <c r="F967" s="2017" t="s">
        <v>1661</v>
      </c>
      <c r="G967" s="2018">
        <v>3600000</v>
      </c>
      <c r="H967" s="2024"/>
    </row>
    <row r="968" spans="1:8" ht="15.75" customHeight="1" x14ac:dyDescent="0.25">
      <c r="A968" s="2017" t="s">
        <v>1817</v>
      </c>
      <c r="B968" s="2017" t="s">
        <v>1592</v>
      </c>
      <c r="C968" s="2017" t="s">
        <v>1642</v>
      </c>
      <c r="D968" s="2017" t="s">
        <v>1848</v>
      </c>
      <c r="E968" s="2017" t="s">
        <v>1660</v>
      </c>
      <c r="F968" s="2017" t="s">
        <v>1662</v>
      </c>
      <c r="G968" s="2018">
        <v>4200000</v>
      </c>
      <c r="H968" s="2024"/>
    </row>
    <row r="969" spans="1:8" ht="15.75" customHeight="1" x14ac:dyDescent="0.25">
      <c r="A969" s="2017" t="s">
        <v>1817</v>
      </c>
      <c r="B969" s="2017" t="s">
        <v>1592</v>
      </c>
      <c r="C969" s="2017" t="s">
        <v>1642</v>
      </c>
      <c r="D969" s="2017" t="s">
        <v>1848</v>
      </c>
      <c r="E969" s="2017" t="s">
        <v>1618</v>
      </c>
      <c r="F969" s="2017" t="s">
        <v>1646</v>
      </c>
      <c r="G969" s="2018">
        <v>20850000</v>
      </c>
      <c r="H969" s="2024"/>
    </row>
    <row r="970" spans="1:8" ht="15.75" customHeight="1" x14ac:dyDescent="0.25">
      <c r="A970" s="2017" t="s">
        <v>1817</v>
      </c>
      <c r="B970" s="2017" t="s">
        <v>1592</v>
      </c>
      <c r="C970" s="2017" t="s">
        <v>1642</v>
      </c>
      <c r="D970" s="2017" t="s">
        <v>1848</v>
      </c>
      <c r="E970" s="2017" t="s">
        <v>1618</v>
      </c>
      <c r="F970" s="2017" t="s">
        <v>1622</v>
      </c>
      <c r="G970" s="2018">
        <v>20850000</v>
      </c>
      <c r="H970" s="2024"/>
    </row>
    <row r="971" spans="1:8" ht="15.75" customHeight="1" x14ac:dyDescent="0.25">
      <c r="A971" s="2017" t="s">
        <v>1817</v>
      </c>
      <c r="B971" s="2017" t="s">
        <v>1592</v>
      </c>
      <c r="C971" s="2017" t="s">
        <v>1642</v>
      </c>
      <c r="D971" s="2017" t="s">
        <v>1848</v>
      </c>
      <c r="E971" s="2017" t="s">
        <v>1615</v>
      </c>
      <c r="F971" s="2017" t="s">
        <v>1646</v>
      </c>
      <c r="G971" s="2018">
        <v>218844840</v>
      </c>
      <c r="H971" s="2024"/>
    </row>
    <row r="972" spans="1:8" ht="15.75" customHeight="1" x14ac:dyDescent="0.25">
      <c r="A972" s="2017" t="s">
        <v>1817</v>
      </c>
      <c r="B972" s="2017" t="s">
        <v>1592</v>
      </c>
      <c r="C972" s="2017" t="s">
        <v>1642</v>
      </c>
      <c r="D972" s="2017" t="s">
        <v>1848</v>
      </c>
      <c r="E972" s="2017" t="s">
        <v>1615</v>
      </c>
      <c r="F972" s="2017" t="s">
        <v>1763</v>
      </c>
      <c r="G972" s="2018">
        <v>99864840</v>
      </c>
      <c r="H972" s="2024"/>
    </row>
    <row r="973" spans="1:8" ht="15.75" customHeight="1" x14ac:dyDescent="0.25">
      <c r="A973" s="2017" t="s">
        <v>1817</v>
      </c>
      <c r="B973" s="2017" t="s">
        <v>1592</v>
      </c>
      <c r="C973" s="2017" t="s">
        <v>1642</v>
      </c>
      <c r="D973" s="2017" t="s">
        <v>1848</v>
      </c>
      <c r="E973" s="2017" t="s">
        <v>1615</v>
      </c>
      <c r="F973" s="2017" t="s">
        <v>1616</v>
      </c>
      <c r="G973" s="2018">
        <v>118980000</v>
      </c>
      <c r="H973" s="2024"/>
    </row>
    <row r="974" spans="1:8" ht="15.75" customHeight="1" x14ac:dyDescent="0.25">
      <c r="A974" s="2017" t="s">
        <v>1817</v>
      </c>
      <c r="B974" s="2017" t="s">
        <v>1592</v>
      </c>
      <c r="C974" s="2017" t="s">
        <v>1632</v>
      </c>
      <c r="D974" s="2017" t="s">
        <v>1646</v>
      </c>
      <c r="E974" s="2017" t="s">
        <v>1646</v>
      </c>
      <c r="F974" s="2017" t="s">
        <v>1646</v>
      </c>
      <c r="G974" s="2018">
        <v>17612829282</v>
      </c>
      <c r="H974" s="2024"/>
    </row>
    <row r="975" spans="1:8" ht="15.75" customHeight="1" x14ac:dyDescent="0.25">
      <c r="A975" s="2017" t="s">
        <v>1817</v>
      </c>
      <c r="B975" s="2017" t="s">
        <v>1592</v>
      </c>
      <c r="C975" s="2017" t="s">
        <v>1632</v>
      </c>
      <c r="D975" s="2017" t="s">
        <v>1806</v>
      </c>
      <c r="E975" s="2017" t="s">
        <v>1646</v>
      </c>
      <c r="F975" s="2017" t="s">
        <v>1646</v>
      </c>
      <c r="G975" s="2018">
        <v>290800000</v>
      </c>
      <c r="H975" s="2024"/>
    </row>
    <row r="976" spans="1:8" ht="15.75" customHeight="1" x14ac:dyDescent="0.25">
      <c r="A976" s="2017" t="s">
        <v>1817</v>
      </c>
      <c r="B976" s="2017" t="s">
        <v>1592</v>
      </c>
      <c r="C976" s="2017" t="s">
        <v>1632</v>
      </c>
      <c r="D976" s="2017" t="s">
        <v>1806</v>
      </c>
      <c r="E976" s="2017" t="s">
        <v>1824</v>
      </c>
      <c r="F976" s="2017" t="s">
        <v>1646</v>
      </c>
      <c r="G976" s="2018">
        <v>180000000</v>
      </c>
      <c r="H976" s="2024"/>
    </row>
    <row r="977" spans="1:8" ht="15.75" customHeight="1" x14ac:dyDescent="0.25">
      <c r="A977" s="2017" t="s">
        <v>1817</v>
      </c>
      <c r="B977" s="2017" t="s">
        <v>1592</v>
      </c>
      <c r="C977" s="2017" t="s">
        <v>1632</v>
      </c>
      <c r="D977" s="2017" t="s">
        <v>1806</v>
      </c>
      <c r="E977" s="2017" t="s">
        <v>1824</v>
      </c>
      <c r="F977" s="2017" t="s">
        <v>1844</v>
      </c>
      <c r="G977" s="2018">
        <v>180000000</v>
      </c>
      <c r="H977" s="2024"/>
    </row>
    <row r="978" spans="1:8" ht="15.75" customHeight="1" x14ac:dyDescent="0.25">
      <c r="A978" s="2017" t="s">
        <v>1817</v>
      </c>
      <c r="B978" s="2017" t="s">
        <v>1592</v>
      </c>
      <c r="C978" s="2017" t="s">
        <v>1632</v>
      </c>
      <c r="D978" s="2017" t="s">
        <v>1806</v>
      </c>
      <c r="E978" s="2017" t="s">
        <v>1807</v>
      </c>
      <c r="F978" s="2017" t="s">
        <v>1646</v>
      </c>
      <c r="G978" s="2018">
        <v>110800000</v>
      </c>
      <c r="H978" s="2024"/>
    </row>
    <row r="979" spans="1:8" ht="15.75" customHeight="1" x14ac:dyDescent="0.25">
      <c r="A979" s="2017" t="s">
        <v>1817</v>
      </c>
      <c r="B979" s="2017" t="s">
        <v>1592</v>
      </c>
      <c r="C979" s="2017" t="s">
        <v>1632</v>
      </c>
      <c r="D979" s="2017" t="s">
        <v>1806</v>
      </c>
      <c r="E979" s="2017" t="s">
        <v>1807</v>
      </c>
      <c r="F979" s="2017" t="s">
        <v>1808</v>
      </c>
      <c r="G979" s="2018">
        <v>110800000</v>
      </c>
      <c r="H979" s="2024"/>
    </row>
    <row r="980" spans="1:8" ht="15.75" customHeight="1" x14ac:dyDescent="0.25">
      <c r="A980" s="2017" t="s">
        <v>1817</v>
      </c>
      <c r="B980" s="2017" t="s">
        <v>1592</v>
      </c>
      <c r="C980" s="2017" t="s">
        <v>1632</v>
      </c>
      <c r="D980" s="2017" t="s">
        <v>1809</v>
      </c>
      <c r="E980" s="2017" t="s">
        <v>1646</v>
      </c>
      <c r="F980" s="2017" t="s">
        <v>1646</v>
      </c>
      <c r="G980" s="2018">
        <v>469090000</v>
      </c>
      <c r="H980" s="2024"/>
    </row>
    <row r="981" spans="1:8" ht="15.75" customHeight="1" x14ac:dyDescent="0.25">
      <c r="A981" s="2017" t="s">
        <v>1817</v>
      </c>
      <c r="B981" s="2017" t="s">
        <v>1592</v>
      </c>
      <c r="C981" s="2017" t="s">
        <v>1632</v>
      </c>
      <c r="D981" s="2017" t="s">
        <v>1809</v>
      </c>
      <c r="E981" s="2017" t="s">
        <v>1609</v>
      </c>
      <c r="F981" s="2017" t="s">
        <v>1646</v>
      </c>
      <c r="G981" s="2018">
        <v>5940000</v>
      </c>
      <c r="H981" s="2024"/>
    </row>
    <row r="982" spans="1:8" ht="15.75" customHeight="1" x14ac:dyDescent="0.25">
      <c r="A982" s="2017" t="s">
        <v>1817</v>
      </c>
      <c r="B982" s="2017" t="s">
        <v>1592</v>
      </c>
      <c r="C982" s="2017" t="s">
        <v>1632</v>
      </c>
      <c r="D982" s="2017" t="s">
        <v>1809</v>
      </c>
      <c r="E982" s="2017" t="s">
        <v>1609</v>
      </c>
      <c r="F982" s="2017" t="s">
        <v>1612</v>
      </c>
      <c r="G982" s="2018">
        <v>5940000</v>
      </c>
      <c r="H982" s="2024"/>
    </row>
    <row r="983" spans="1:8" ht="15.75" customHeight="1" x14ac:dyDescent="0.25">
      <c r="A983" s="2017" t="s">
        <v>1817</v>
      </c>
      <c r="B983" s="2017" t="s">
        <v>1592</v>
      </c>
      <c r="C983" s="2017" t="s">
        <v>1632</v>
      </c>
      <c r="D983" s="2017" t="s">
        <v>1809</v>
      </c>
      <c r="E983" s="2017" t="s">
        <v>1793</v>
      </c>
      <c r="F983" s="2017" t="s">
        <v>1646</v>
      </c>
      <c r="G983" s="2018">
        <v>462000000</v>
      </c>
      <c r="H983" s="2024"/>
    </row>
    <row r="984" spans="1:8" ht="15.75" customHeight="1" x14ac:dyDescent="0.25">
      <c r="A984" s="2017" t="s">
        <v>1817</v>
      </c>
      <c r="B984" s="2017" t="s">
        <v>1592</v>
      </c>
      <c r="C984" s="2017" t="s">
        <v>1632</v>
      </c>
      <c r="D984" s="2017" t="s">
        <v>1809</v>
      </c>
      <c r="E984" s="2017" t="s">
        <v>1793</v>
      </c>
      <c r="F984" s="2017" t="s">
        <v>1849</v>
      </c>
      <c r="G984" s="2018">
        <v>231000000</v>
      </c>
      <c r="H984" s="2024"/>
    </row>
    <row r="985" spans="1:8" ht="15.75" customHeight="1" x14ac:dyDescent="0.25">
      <c r="A985" s="2017" t="s">
        <v>1817</v>
      </c>
      <c r="B985" s="2017" t="s">
        <v>1592</v>
      </c>
      <c r="C985" s="2017" t="s">
        <v>1632</v>
      </c>
      <c r="D985" s="2017" t="s">
        <v>1809</v>
      </c>
      <c r="E985" s="2017" t="s">
        <v>1793</v>
      </c>
      <c r="F985" s="2017" t="s">
        <v>1810</v>
      </c>
      <c r="G985" s="2018">
        <v>231000000</v>
      </c>
      <c r="H985" s="2024"/>
    </row>
    <row r="986" spans="1:8" ht="15.75" customHeight="1" x14ac:dyDescent="0.25">
      <c r="A986" s="2017" t="s">
        <v>1817</v>
      </c>
      <c r="B986" s="2017" t="s">
        <v>1592</v>
      </c>
      <c r="C986" s="2017" t="s">
        <v>1632</v>
      </c>
      <c r="D986" s="2017" t="s">
        <v>1809</v>
      </c>
      <c r="E986" s="2017" t="s">
        <v>1615</v>
      </c>
      <c r="F986" s="2017" t="s">
        <v>1646</v>
      </c>
      <c r="G986" s="2018">
        <v>1150000</v>
      </c>
      <c r="H986" s="2024"/>
    </row>
    <row r="987" spans="1:8" ht="15.75" customHeight="1" x14ac:dyDescent="0.25">
      <c r="A987" s="2017" t="s">
        <v>1817</v>
      </c>
      <c r="B987" s="2017" t="s">
        <v>1592</v>
      </c>
      <c r="C987" s="2017" t="s">
        <v>1632</v>
      </c>
      <c r="D987" s="2017" t="s">
        <v>1809</v>
      </c>
      <c r="E987" s="2017" t="s">
        <v>1615</v>
      </c>
      <c r="F987" s="2017" t="s">
        <v>1616</v>
      </c>
      <c r="G987" s="2018">
        <v>1150000</v>
      </c>
      <c r="H987" s="2024"/>
    </row>
    <row r="988" spans="1:8" ht="15.75" customHeight="1" x14ac:dyDescent="0.25">
      <c r="A988" s="2017" t="s">
        <v>1817</v>
      </c>
      <c r="B988" s="2017" t="s">
        <v>1592</v>
      </c>
      <c r="C988" s="2017" t="s">
        <v>1632</v>
      </c>
      <c r="D988" s="2017" t="s">
        <v>1633</v>
      </c>
      <c r="E988" s="2017" t="s">
        <v>1646</v>
      </c>
      <c r="F988" s="2017" t="s">
        <v>1646</v>
      </c>
      <c r="G988" s="2018">
        <v>16852939282</v>
      </c>
      <c r="H988" s="2024"/>
    </row>
    <row r="989" spans="1:8" ht="15.75" customHeight="1" x14ac:dyDescent="0.25">
      <c r="A989" s="2017" t="s">
        <v>1817</v>
      </c>
      <c r="B989" s="2017" t="s">
        <v>1592</v>
      </c>
      <c r="C989" s="2017" t="s">
        <v>1632</v>
      </c>
      <c r="D989" s="2017" t="s">
        <v>1633</v>
      </c>
      <c r="E989" s="2017" t="s">
        <v>1654</v>
      </c>
      <c r="F989" s="2017" t="s">
        <v>1646</v>
      </c>
      <c r="G989" s="2018">
        <v>5600000</v>
      </c>
      <c r="H989" s="2024"/>
    </row>
    <row r="990" spans="1:8" ht="15.75" customHeight="1" x14ac:dyDescent="0.25">
      <c r="A990" s="2017" t="s">
        <v>1817</v>
      </c>
      <c r="B990" s="2017" t="s">
        <v>1592</v>
      </c>
      <c r="C990" s="2017" t="s">
        <v>1632</v>
      </c>
      <c r="D990" s="2017" t="s">
        <v>1633</v>
      </c>
      <c r="E990" s="2017" t="s">
        <v>1654</v>
      </c>
      <c r="F990" s="2017" t="s">
        <v>1663</v>
      </c>
      <c r="G990" s="2018">
        <v>5600000</v>
      </c>
      <c r="H990" s="2024"/>
    </row>
    <row r="991" spans="1:8" ht="15.75" customHeight="1" x14ac:dyDescent="0.25">
      <c r="A991" s="2017" t="s">
        <v>1817</v>
      </c>
      <c r="B991" s="2017" t="s">
        <v>1592</v>
      </c>
      <c r="C991" s="2017" t="s">
        <v>1632</v>
      </c>
      <c r="D991" s="2017" t="s">
        <v>1633</v>
      </c>
      <c r="E991" s="2017" t="s">
        <v>1618</v>
      </c>
      <c r="F991" s="2017" t="s">
        <v>1646</v>
      </c>
      <c r="G991" s="2018">
        <v>520000</v>
      </c>
      <c r="H991" s="2024"/>
    </row>
    <row r="992" spans="1:8" ht="15.75" customHeight="1" x14ac:dyDescent="0.25">
      <c r="A992" s="2017" t="s">
        <v>1817</v>
      </c>
      <c r="B992" s="2017" t="s">
        <v>1592</v>
      </c>
      <c r="C992" s="2017" t="s">
        <v>1632</v>
      </c>
      <c r="D992" s="2017" t="s">
        <v>1633</v>
      </c>
      <c r="E992" s="2017" t="s">
        <v>1618</v>
      </c>
      <c r="F992" s="2017" t="s">
        <v>1622</v>
      </c>
      <c r="G992" s="2018">
        <v>520000</v>
      </c>
      <c r="H992" s="2024"/>
    </row>
    <row r="993" spans="1:8" ht="15.75" customHeight="1" x14ac:dyDescent="0.25">
      <c r="A993" s="2017" t="s">
        <v>1817</v>
      </c>
      <c r="B993" s="2017" t="s">
        <v>1592</v>
      </c>
      <c r="C993" s="2017" t="s">
        <v>1632</v>
      </c>
      <c r="D993" s="2017" t="s">
        <v>1633</v>
      </c>
      <c r="E993" s="2017" t="s">
        <v>1613</v>
      </c>
      <c r="F993" s="2017" t="s">
        <v>1646</v>
      </c>
      <c r="G993" s="2018">
        <v>102214800</v>
      </c>
      <c r="H993" s="2024"/>
    </row>
    <row r="994" spans="1:8" ht="15.75" customHeight="1" x14ac:dyDescent="0.25">
      <c r="A994" s="2017" t="s">
        <v>1817</v>
      </c>
      <c r="B994" s="2017" t="s">
        <v>1592</v>
      </c>
      <c r="C994" s="2017" t="s">
        <v>1632</v>
      </c>
      <c r="D994" s="2017" t="s">
        <v>1633</v>
      </c>
      <c r="E994" s="2017" t="s">
        <v>1613</v>
      </c>
      <c r="F994" s="2017" t="s">
        <v>1614</v>
      </c>
      <c r="G994" s="2018">
        <v>102214800</v>
      </c>
      <c r="H994" s="2024"/>
    </row>
    <row r="995" spans="1:8" ht="15.75" customHeight="1" x14ac:dyDescent="0.25">
      <c r="A995" s="2017" t="s">
        <v>1817</v>
      </c>
      <c r="B995" s="2017" t="s">
        <v>1592</v>
      </c>
      <c r="C995" s="2017" t="s">
        <v>1632</v>
      </c>
      <c r="D995" s="2017" t="s">
        <v>1633</v>
      </c>
      <c r="E995" s="2017" t="s">
        <v>1824</v>
      </c>
      <c r="F995" s="2017" t="s">
        <v>1646</v>
      </c>
      <c r="G995" s="2018">
        <v>12857302982</v>
      </c>
      <c r="H995" s="2024"/>
    </row>
    <row r="996" spans="1:8" ht="15.75" customHeight="1" x14ac:dyDescent="0.25">
      <c r="A996" s="2017" t="s">
        <v>1817</v>
      </c>
      <c r="B996" s="2017" t="s">
        <v>1592</v>
      </c>
      <c r="C996" s="2017" t="s">
        <v>1632</v>
      </c>
      <c r="D996" s="2017" t="s">
        <v>1633</v>
      </c>
      <c r="E996" s="2017" t="s">
        <v>1824</v>
      </c>
      <c r="F996" s="2017" t="s">
        <v>1850</v>
      </c>
      <c r="G996" s="2018">
        <v>10936590000</v>
      </c>
      <c r="H996" s="2024"/>
    </row>
    <row r="997" spans="1:8" ht="15.75" customHeight="1" x14ac:dyDescent="0.25">
      <c r="A997" s="2017" t="s">
        <v>1817</v>
      </c>
      <c r="B997" s="2017" t="s">
        <v>1592</v>
      </c>
      <c r="C997" s="2017" t="s">
        <v>1632</v>
      </c>
      <c r="D997" s="2017" t="s">
        <v>1633</v>
      </c>
      <c r="E997" s="2017" t="s">
        <v>1824</v>
      </c>
      <c r="F997" s="2017" t="s">
        <v>1825</v>
      </c>
      <c r="G997" s="2018">
        <v>691250000</v>
      </c>
      <c r="H997" s="2024"/>
    </row>
    <row r="998" spans="1:8" ht="15.75" customHeight="1" x14ac:dyDescent="0.25">
      <c r="A998" s="2017" t="s">
        <v>1817</v>
      </c>
      <c r="B998" s="2017" t="s">
        <v>1592</v>
      </c>
      <c r="C998" s="2017" t="s">
        <v>1632</v>
      </c>
      <c r="D998" s="2017" t="s">
        <v>1633</v>
      </c>
      <c r="E998" s="2017" t="s">
        <v>1824</v>
      </c>
      <c r="F998" s="2017" t="s">
        <v>1826</v>
      </c>
      <c r="G998" s="2018">
        <v>311202000</v>
      </c>
      <c r="H998" s="2024"/>
    </row>
    <row r="999" spans="1:8" ht="15.75" customHeight="1" x14ac:dyDescent="0.25">
      <c r="A999" s="2017" t="s">
        <v>1817</v>
      </c>
      <c r="B999" s="2017" t="s">
        <v>1592</v>
      </c>
      <c r="C999" s="2017" t="s">
        <v>1632</v>
      </c>
      <c r="D999" s="2017" t="s">
        <v>1633</v>
      </c>
      <c r="E999" s="2017" t="s">
        <v>1824</v>
      </c>
      <c r="F999" s="2017" t="s">
        <v>1844</v>
      </c>
      <c r="G999" s="2018">
        <v>300000000</v>
      </c>
      <c r="H999" s="2024"/>
    </row>
    <row r="1000" spans="1:8" ht="15.75" customHeight="1" x14ac:dyDescent="0.25">
      <c r="A1000" s="2017" t="s">
        <v>1817</v>
      </c>
      <c r="B1000" s="2017" t="s">
        <v>1592</v>
      </c>
      <c r="C1000" s="2017" t="s">
        <v>1632</v>
      </c>
      <c r="D1000" s="2017" t="s">
        <v>1633</v>
      </c>
      <c r="E1000" s="2017" t="s">
        <v>1824</v>
      </c>
      <c r="F1000" s="2017" t="s">
        <v>1846</v>
      </c>
      <c r="G1000" s="2018">
        <v>156500000</v>
      </c>
      <c r="H1000" s="2024"/>
    </row>
    <row r="1001" spans="1:8" ht="15.75" customHeight="1" x14ac:dyDescent="0.25">
      <c r="A1001" s="2017" t="s">
        <v>1817</v>
      </c>
      <c r="B1001" s="2017" t="s">
        <v>1592</v>
      </c>
      <c r="C1001" s="2017" t="s">
        <v>1632</v>
      </c>
      <c r="D1001" s="2017" t="s">
        <v>1633</v>
      </c>
      <c r="E1001" s="2017" t="s">
        <v>1824</v>
      </c>
      <c r="F1001" s="2017" t="s">
        <v>1851</v>
      </c>
      <c r="G1001" s="2018">
        <v>91084000</v>
      </c>
      <c r="H1001" s="2024"/>
    </row>
    <row r="1002" spans="1:8" ht="15.75" customHeight="1" x14ac:dyDescent="0.25">
      <c r="A1002" s="2017" t="s">
        <v>1817</v>
      </c>
      <c r="B1002" s="2017" t="s">
        <v>1592</v>
      </c>
      <c r="C1002" s="2017" t="s">
        <v>1632</v>
      </c>
      <c r="D1002" s="2017" t="s">
        <v>1633</v>
      </c>
      <c r="E1002" s="2017" t="s">
        <v>1824</v>
      </c>
      <c r="F1002" s="2017" t="s">
        <v>1847</v>
      </c>
      <c r="G1002" s="2018">
        <v>370676982</v>
      </c>
      <c r="H1002" s="2024"/>
    </row>
    <row r="1003" spans="1:8" ht="15.75" customHeight="1" x14ac:dyDescent="0.25">
      <c r="A1003" s="2017" t="s">
        <v>1817</v>
      </c>
      <c r="B1003" s="2017" t="s">
        <v>1592</v>
      </c>
      <c r="C1003" s="2017" t="s">
        <v>1632</v>
      </c>
      <c r="D1003" s="2017" t="s">
        <v>1633</v>
      </c>
      <c r="E1003" s="2017" t="s">
        <v>1807</v>
      </c>
      <c r="F1003" s="2017" t="s">
        <v>1646</v>
      </c>
      <c r="G1003" s="2018">
        <v>2649471500</v>
      </c>
      <c r="H1003" s="2024"/>
    </row>
    <row r="1004" spans="1:8" ht="15.75" customHeight="1" x14ac:dyDescent="0.25">
      <c r="A1004" s="2017" t="s">
        <v>1817</v>
      </c>
      <c r="B1004" s="2017" t="s">
        <v>1592</v>
      </c>
      <c r="C1004" s="2017" t="s">
        <v>1632</v>
      </c>
      <c r="D1004" s="2017" t="s">
        <v>1633</v>
      </c>
      <c r="E1004" s="2017" t="s">
        <v>1807</v>
      </c>
      <c r="F1004" s="2017" t="s">
        <v>1808</v>
      </c>
      <c r="G1004" s="2018">
        <v>2649471500</v>
      </c>
      <c r="H1004" s="2024"/>
    </row>
    <row r="1005" spans="1:8" ht="15.75" customHeight="1" x14ac:dyDescent="0.25">
      <c r="A1005" s="2017" t="s">
        <v>1817</v>
      </c>
      <c r="B1005" s="2017" t="s">
        <v>1592</v>
      </c>
      <c r="C1005" s="2017" t="s">
        <v>1632</v>
      </c>
      <c r="D1005" s="2017" t="s">
        <v>1633</v>
      </c>
      <c r="E1005" s="2017" t="s">
        <v>1615</v>
      </c>
      <c r="F1005" s="2017" t="s">
        <v>1646</v>
      </c>
      <c r="G1005" s="2018">
        <v>1237830000</v>
      </c>
      <c r="H1005" s="2024"/>
    </row>
    <row r="1006" spans="1:8" ht="15.75" customHeight="1" x14ac:dyDescent="0.25">
      <c r="A1006" s="2017" t="s">
        <v>1817</v>
      </c>
      <c r="B1006" s="2017" t="s">
        <v>1592</v>
      </c>
      <c r="C1006" s="2017" t="s">
        <v>1632</v>
      </c>
      <c r="D1006" s="2017" t="s">
        <v>1633</v>
      </c>
      <c r="E1006" s="2017" t="s">
        <v>1615</v>
      </c>
      <c r="F1006" s="2017" t="s">
        <v>1616</v>
      </c>
      <c r="G1006" s="2018">
        <v>1237830000</v>
      </c>
      <c r="H1006" s="2024"/>
    </row>
    <row r="1007" spans="1:8" ht="15.75" customHeight="1" x14ac:dyDescent="0.25">
      <c r="A1007" s="2017" t="s">
        <v>1817</v>
      </c>
      <c r="B1007" s="2017" t="s">
        <v>1592</v>
      </c>
      <c r="C1007" s="2017" t="s">
        <v>1811</v>
      </c>
      <c r="D1007" s="2017" t="s">
        <v>1646</v>
      </c>
      <c r="E1007" s="2017" t="s">
        <v>1646</v>
      </c>
      <c r="F1007" s="2017" t="s">
        <v>1646</v>
      </c>
      <c r="G1007" s="2018">
        <v>1591090798</v>
      </c>
      <c r="H1007" s="2024"/>
    </row>
    <row r="1008" spans="1:8" ht="15.75" customHeight="1" x14ac:dyDescent="0.25">
      <c r="A1008" s="2017" t="s">
        <v>1817</v>
      </c>
      <c r="B1008" s="2017" t="s">
        <v>1592</v>
      </c>
      <c r="C1008" s="2017" t="s">
        <v>1811</v>
      </c>
      <c r="D1008" s="2017" t="s">
        <v>1812</v>
      </c>
      <c r="E1008" s="2017" t="s">
        <v>1646</v>
      </c>
      <c r="F1008" s="2017" t="s">
        <v>1646</v>
      </c>
      <c r="G1008" s="2018">
        <v>1591090798</v>
      </c>
      <c r="H1008" s="2024"/>
    </row>
    <row r="1009" spans="1:8" ht="15.75" customHeight="1" x14ac:dyDescent="0.25">
      <c r="A1009" s="2017" t="s">
        <v>1817</v>
      </c>
      <c r="B1009" s="2017" t="s">
        <v>1592</v>
      </c>
      <c r="C1009" s="2017" t="s">
        <v>1811</v>
      </c>
      <c r="D1009" s="2017" t="s">
        <v>1812</v>
      </c>
      <c r="E1009" s="2017" t="s">
        <v>1615</v>
      </c>
      <c r="F1009" s="2017" t="s">
        <v>1646</v>
      </c>
      <c r="G1009" s="2018">
        <v>891090798</v>
      </c>
      <c r="H1009" s="2024"/>
    </row>
    <row r="1010" spans="1:8" ht="15.75" customHeight="1" x14ac:dyDescent="0.25">
      <c r="A1010" s="2017" t="s">
        <v>1817</v>
      </c>
      <c r="B1010" s="2017" t="s">
        <v>1592</v>
      </c>
      <c r="C1010" s="2017" t="s">
        <v>1811</v>
      </c>
      <c r="D1010" s="2017" t="s">
        <v>1812</v>
      </c>
      <c r="E1010" s="2017" t="s">
        <v>1615</v>
      </c>
      <c r="F1010" s="2017" t="s">
        <v>1616</v>
      </c>
      <c r="G1010" s="2018">
        <v>891090798</v>
      </c>
      <c r="H1010" s="2024"/>
    </row>
    <row r="1011" spans="1:8" ht="15.75" customHeight="1" x14ac:dyDescent="0.25">
      <c r="A1011" s="2017" t="s">
        <v>1817</v>
      </c>
      <c r="B1011" s="2017" t="s">
        <v>1592</v>
      </c>
      <c r="C1011" s="2017" t="s">
        <v>1811</v>
      </c>
      <c r="D1011" s="2017" t="s">
        <v>1812</v>
      </c>
      <c r="E1011" s="2017" t="s">
        <v>1852</v>
      </c>
      <c r="F1011" s="2017" t="s">
        <v>1646</v>
      </c>
      <c r="G1011" s="2018">
        <v>700000000</v>
      </c>
      <c r="H1011" s="2024"/>
    </row>
    <row r="1012" spans="1:8" ht="15.75" customHeight="1" x14ac:dyDescent="0.25">
      <c r="A1012" s="2017" t="s">
        <v>1817</v>
      </c>
      <c r="B1012" s="2017" t="s">
        <v>1592</v>
      </c>
      <c r="C1012" s="2017" t="s">
        <v>1811</v>
      </c>
      <c r="D1012" s="2017" t="s">
        <v>1812</v>
      </c>
      <c r="E1012" s="2017" t="s">
        <v>1852</v>
      </c>
      <c r="F1012" s="2017" t="s">
        <v>1853</v>
      </c>
      <c r="G1012" s="2018">
        <v>700000000</v>
      </c>
      <c r="H1012" s="2024"/>
    </row>
    <row r="1013" spans="1:8" ht="15.75" customHeight="1" x14ac:dyDescent="0.25">
      <c r="A1013" s="2017" t="s">
        <v>1817</v>
      </c>
      <c r="B1013" s="2017" t="s">
        <v>1592</v>
      </c>
      <c r="C1013" s="2017" t="s">
        <v>1813</v>
      </c>
      <c r="D1013" s="2017" t="s">
        <v>1646</v>
      </c>
      <c r="E1013" s="2017" t="s">
        <v>1646</v>
      </c>
      <c r="F1013" s="2017" t="s">
        <v>1646</v>
      </c>
      <c r="G1013" s="2018">
        <v>47419854587</v>
      </c>
      <c r="H1013" s="2024"/>
    </row>
    <row r="1014" spans="1:8" ht="15.75" customHeight="1" x14ac:dyDescent="0.25">
      <c r="A1014" s="2017" t="s">
        <v>1817</v>
      </c>
      <c r="B1014" s="2017" t="s">
        <v>1592</v>
      </c>
      <c r="C1014" s="2017" t="s">
        <v>1813</v>
      </c>
      <c r="D1014" s="2017" t="s">
        <v>1814</v>
      </c>
      <c r="E1014" s="2017" t="s">
        <v>1646</v>
      </c>
      <c r="F1014" s="2017" t="s">
        <v>1646</v>
      </c>
      <c r="G1014" s="2018">
        <v>10510612880</v>
      </c>
      <c r="H1014" s="2024"/>
    </row>
    <row r="1015" spans="1:8" ht="15.75" customHeight="1" x14ac:dyDescent="0.25">
      <c r="A1015" s="2017" t="s">
        <v>1817</v>
      </c>
      <c r="B1015" s="2017" t="s">
        <v>1592</v>
      </c>
      <c r="C1015" s="2017" t="s">
        <v>1813</v>
      </c>
      <c r="D1015" s="2017" t="s">
        <v>1814</v>
      </c>
      <c r="E1015" s="2017" t="s">
        <v>1815</v>
      </c>
      <c r="F1015" s="2017" t="s">
        <v>1646</v>
      </c>
      <c r="G1015" s="2018">
        <v>10510612880</v>
      </c>
      <c r="H1015" s="2024"/>
    </row>
    <row r="1016" spans="1:8" ht="15.75" customHeight="1" x14ac:dyDescent="0.25">
      <c r="A1016" s="2017" t="s">
        <v>1817</v>
      </c>
      <c r="B1016" s="2017" t="s">
        <v>1592</v>
      </c>
      <c r="C1016" s="2017" t="s">
        <v>1813</v>
      </c>
      <c r="D1016" s="2017" t="s">
        <v>1814</v>
      </c>
      <c r="E1016" s="2017" t="s">
        <v>1815</v>
      </c>
      <c r="F1016" s="2017" t="s">
        <v>1816</v>
      </c>
      <c r="G1016" s="2018">
        <v>10510612880</v>
      </c>
      <c r="H1016" s="2024"/>
    </row>
    <row r="1017" spans="1:8" ht="15.75" customHeight="1" x14ac:dyDescent="0.25">
      <c r="A1017" s="2017" t="s">
        <v>1817</v>
      </c>
      <c r="B1017" s="2017" t="s">
        <v>1592</v>
      </c>
      <c r="C1017" s="2017" t="s">
        <v>1813</v>
      </c>
      <c r="D1017" s="2017" t="s">
        <v>2022</v>
      </c>
      <c r="E1017" s="2017" t="s">
        <v>1646</v>
      </c>
      <c r="F1017" s="2017" t="s">
        <v>1646</v>
      </c>
      <c r="G1017" s="2018">
        <v>36659241707</v>
      </c>
      <c r="H1017" s="2024"/>
    </row>
    <row r="1018" spans="1:8" ht="15.75" customHeight="1" x14ac:dyDescent="0.25">
      <c r="A1018" s="2017" t="s">
        <v>1817</v>
      </c>
      <c r="B1018" s="2017" t="s">
        <v>1592</v>
      </c>
      <c r="C1018" s="2017" t="s">
        <v>1813</v>
      </c>
      <c r="D1018" s="2017" t="s">
        <v>2022</v>
      </c>
      <c r="E1018" s="2017" t="s">
        <v>2023</v>
      </c>
      <c r="F1018" s="2017" t="s">
        <v>1646</v>
      </c>
      <c r="G1018" s="2018">
        <v>36659241707</v>
      </c>
      <c r="H1018" s="2024"/>
    </row>
    <row r="1019" spans="1:8" ht="15.75" customHeight="1" x14ac:dyDescent="0.25">
      <c r="A1019" s="2017" t="s">
        <v>1817</v>
      </c>
      <c r="B1019" s="2017" t="s">
        <v>1592</v>
      </c>
      <c r="C1019" s="2017" t="s">
        <v>1813</v>
      </c>
      <c r="D1019" s="2017" t="s">
        <v>2022</v>
      </c>
      <c r="E1019" s="2017" t="s">
        <v>2023</v>
      </c>
      <c r="F1019" s="2017" t="s">
        <v>2024</v>
      </c>
      <c r="G1019" s="2018">
        <v>2000000000</v>
      </c>
      <c r="H1019" s="2024"/>
    </row>
    <row r="1020" spans="1:8" x14ac:dyDescent="0.25">
      <c r="A1020" s="2017" t="s">
        <v>1817</v>
      </c>
      <c r="B1020" s="2017" t="s">
        <v>1592</v>
      </c>
      <c r="C1020" s="2017" t="s">
        <v>1813</v>
      </c>
      <c r="D1020" s="2017" t="s">
        <v>2022</v>
      </c>
      <c r="E1020" s="2017" t="s">
        <v>2023</v>
      </c>
      <c r="F1020" s="2017" t="s">
        <v>2025</v>
      </c>
      <c r="G1020" s="2018">
        <v>3408864648</v>
      </c>
    </row>
    <row r="1021" spans="1:8" x14ac:dyDescent="0.25">
      <c r="A1021" s="2017" t="s">
        <v>1817</v>
      </c>
      <c r="B1021" s="2017" t="s">
        <v>1592</v>
      </c>
      <c r="C1021" s="2017" t="s">
        <v>1813</v>
      </c>
      <c r="D1021" s="2017" t="s">
        <v>2022</v>
      </c>
      <c r="E1021" s="2017" t="s">
        <v>2023</v>
      </c>
      <c r="F1021" s="2017" t="s">
        <v>2026</v>
      </c>
      <c r="G1021" s="2018">
        <v>3600000</v>
      </c>
    </row>
    <row r="1022" spans="1:8" x14ac:dyDescent="0.25">
      <c r="A1022" s="2017" t="s">
        <v>1817</v>
      </c>
      <c r="B1022" s="2017" t="s">
        <v>1592</v>
      </c>
      <c r="C1022" s="2017" t="s">
        <v>1813</v>
      </c>
      <c r="D1022" s="2017" t="s">
        <v>2022</v>
      </c>
      <c r="E1022" s="2017" t="s">
        <v>2023</v>
      </c>
      <c r="F1022" s="2017" t="s">
        <v>2027</v>
      </c>
      <c r="G1022" s="2018">
        <v>11169883995</v>
      </c>
    </row>
    <row r="1023" spans="1:8" x14ac:dyDescent="0.25">
      <c r="A1023" s="2017" t="s">
        <v>1817</v>
      </c>
      <c r="B1023" s="2017" t="s">
        <v>1592</v>
      </c>
      <c r="C1023" s="2017" t="s">
        <v>1813</v>
      </c>
      <c r="D1023" s="2017" t="s">
        <v>2022</v>
      </c>
      <c r="E1023" s="2017" t="s">
        <v>2023</v>
      </c>
      <c r="F1023" s="2017" t="s">
        <v>2028</v>
      </c>
      <c r="G1023" s="2018">
        <v>17630076804</v>
      </c>
    </row>
    <row r="1024" spans="1:8" x14ac:dyDescent="0.25">
      <c r="A1024" s="2017" t="s">
        <v>1817</v>
      </c>
      <c r="B1024" s="2017" t="s">
        <v>1592</v>
      </c>
      <c r="C1024" s="2017" t="s">
        <v>1813</v>
      </c>
      <c r="D1024" s="2017" t="s">
        <v>2022</v>
      </c>
      <c r="E1024" s="2017" t="s">
        <v>2023</v>
      </c>
      <c r="F1024" s="2017" t="s">
        <v>2029</v>
      </c>
      <c r="G1024" s="2018">
        <v>2446816260</v>
      </c>
    </row>
    <row r="1025" spans="1:9" x14ac:dyDescent="0.25">
      <c r="A1025" s="2017" t="s">
        <v>1817</v>
      </c>
      <c r="B1025" s="2017" t="s">
        <v>1592</v>
      </c>
      <c r="C1025" s="2017" t="s">
        <v>1813</v>
      </c>
      <c r="D1025" s="2017" t="s">
        <v>1854</v>
      </c>
      <c r="E1025" s="2017" t="s">
        <v>1646</v>
      </c>
      <c r="F1025" s="2017" t="s">
        <v>1646</v>
      </c>
      <c r="G1025" s="2018">
        <v>250000000</v>
      </c>
    </row>
    <row r="1026" spans="1:9" x14ac:dyDescent="0.25">
      <c r="A1026" s="2017" t="s">
        <v>1817</v>
      </c>
      <c r="B1026" s="2017" t="s">
        <v>1592</v>
      </c>
      <c r="C1026" s="2017" t="s">
        <v>1813</v>
      </c>
      <c r="D1026" s="2017" t="s">
        <v>1854</v>
      </c>
      <c r="E1026" s="2017" t="s">
        <v>1615</v>
      </c>
      <c r="F1026" s="2017" t="s">
        <v>1646</v>
      </c>
      <c r="G1026" s="2018">
        <v>250000000</v>
      </c>
    </row>
    <row r="1027" spans="1:9" x14ac:dyDescent="0.25">
      <c r="A1027" s="2017" t="s">
        <v>1817</v>
      </c>
      <c r="B1027" s="2017" t="s">
        <v>1592</v>
      </c>
      <c r="C1027" s="2017" t="s">
        <v>1813</v>
      </c>
      <c r="D1027" s="2017" t="s">
        <v>1854</v>
      </c>
      <c r="E1027" s="2017" t="s">
        <v>1615</v>
      </c>
      <c r="F1027" s="2017" t="s">
        <v>1616</v>
      </c>
      <c r="G1027" s="2018">
        <v>250000000</v>
      </c>
    </row>
    <row r="1028" spans="1:9" hidden="1" x14ac:dyDescent="0.25"/>
    <row r="1029" spans="1:9" hidden="1" x14ac:dyDescent="0.25">
      <c r="A1029" s="3283"/>
      <c r="B1029" s="3283"/>
      <c r="C1029" s="3283"/>
      <c r="F1029" s="3287"/>
      <c r="G1029" s="3287"/>
      <c r="H1029" s="1703"/>
    </row>
    <row r="1030" spans="1:9" ht="15.75" hidden="1" customHeight="1" x14ac:dyDescent="0.25">
      <c r="A1030" s="3276" t="s">
        <v>2343</v>
      </c>
      <c r="B1030" s="3276"/>
      <c r="C1030" s="3276"/>
      <c r="E1030" s="3276" t="s">
        <v>2343</v>
      </c>
      <c r="F1030" s="3276"/>
      <c r="G1030" s="3276"/>
      <c r="H1030" s="2007"/>
      <c r="I1030" s="1713"/>
    </row>
    <row r="1031" spans="1:9" ht="36" hidden="1" customHeight="1" x14ac:dyDescent="0.25">
      <c r="A1031" s="3278" t="s">
        <v>1720</v>
      </c>
      <c r="B1031" s="3278"/>
      <c r="C1031" s="3278"/>
      <c r="E1031" s="3278" t="s">
        <v>1855</v>
      </c>
      <c r="F1031" s="3278"/>
      <c r="G1031" s="3278"/>
      <c r="H1031" s="2008"/>
      <c r="I1031" s="1704"/>
    </row>
    <row r="1032" spans="1:9" ht="15.75" hidden="1" customHeight="1" x14ac:dyDescent="0.25">
      <c r="A1032" s="3276" t="s">
        <v>12</v>
      </c>
      <c r="B1032" s="3276"/>
      <c r="C1032" s="3276"/>
      <c r="E1032" s="3276" t="s">
        <v>12</v>
      </c>
      <c r="F1032" s="3276"/>
      <c r="G1032" s="3276"/>
      <c r="H1032" s="2007"/>
      <c r="I1032" s="1713"/>
    </row>
    <row r="1033" spans="1:9" hidden="1" x14ac:dyDescent="0.25"/>
    <row r="1034" spans="1:9" hidden="1" x14ac:dyDescent="0.25"/>
    <row r="1035" spans="1:9" hidden="1" x14ac:dyDescent="0.25"/>
    <row r="1036" spans="1:9" hidden="1" x14ac:dyDescent="0.25"/>
    <row r="1037" spans="1:9" hidden="1" x14ac:dyDescent="0.25"/>
    <row r="1038" spans="1:9" hidden="1" x14ac:dyDescent="0.25">
      <c r="E1038" s="3283" t="s">
        <v>1386</v>
      </c>
      <c r="F1038" s="3283"/>
      <c r="G1038" s="3283"/>
      <c r="H1038" s="1706"/>
    </row>
  </sheetData>
  <mergeCells count="13">
    <mergeCell ref="E1038:G1038"/>
    <mergeCell ref="A1030:C1030"/>
    <mergeCell ref="A1031:C1031"/>
    <mergeCell ref="A1:D1"/>
    <mergeCell ref="E1030:G1030"/>
    <mergeCell ref="E1031:G1031"/>
    <mergeCell ref="E1032:G1032"/>
    <mergeCell ref="A1032:C1032"/>
    <mergeCell ref="A2:G2"/>
    <mergeCell ref="A3:G3"/>
    <mergeCell ref="A6:F6"/>
    <mergeCell ref="F1029:G1029"/>
    <mergeCell ref="A1029:C1029"/>
  </mergeCells>
  <phoneticPr fontId="70" type="noConversion"/>
  <printOptions horizontalCentered="1"/>
  <pageMargins left="0.23622047244094499" right="0.196850393700787" top="0.70866141732283505" bottom="0.55118110236220497" header="0.43307086614173201" footer="0.31496062992126"/>
  <pageSetup paperSize="9" scale="95" firstPageNumber="49" orientation="portrait" useFirstPageNumber="1" r:id="rId1"/>
  <headerFooter>
    <oddFooter>&amp;C&amp;P</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9A87E-0461-4418-8803-B9D9B0078ACE}">
  <sheetPr>
    <tabColor theme="3" tint="0.39997558519241921"/>
  </sheetPr>
  <dimension ref="A1:T200"/>
  <sheetViews>
    <sheetView view="pageBreakPreview" topLeftCell="A161" zoomScaleNormal="110" zoomScaleSheetLayoutView="100" workbookViewId="0">
      <selection activeCell="E211" sqref="E211"/>
    </sheetView>
  </sheetViews>
  <sheetFormatPr defaultRowHeight="15.75" x14ac:dyDescent="0.25"/>
  <cols>
    <col min="1" max="1" width="8.42578125" style="1706" customWidth="1"/>
    <col min="2" max="2" width="13.28515625" style="1705" customWidth="1"/>
    <col min="3" max="3" width="37.5703125" style="1703" customWidth="1"/>
    <col min="4" max="4" width="10.85546875" style="1703" customWidth="1"/>
    <col min="5" max="8" width="9.28515625" style="1703" customWidth="1"/>
    <col min="9" max="9" width="20.28515625" style="1705" customWidth="1"/>
    <col min="10" max="10" width="0" style="1705" hidden="1" customWidth="1"/>
    <col min="11" max="11" width="10.85546875" style="1705" hidden="1" customWidth="1"/>
    <col min="12" max="12" width="9.42578125" style="1705" hidden="1" customWidth="1"/>
    <col min="13" max="13" width="0" style="1705" hidden="1" customWidth="1"/>
    <col min="14" max="14" width="17" style="1705" hidden="1" customWidth="1"/>
    <col min="15" max="18" width="0" style="1705" hidden="1" customWidth="1"/>
    <col min="19" max="19" width="15.5703125" style="1705" bestFit="1" customWidth="1"/>
    <col min="20" max="20" width="13.85546875" style="1705" bestFit="1" customWidth="1"/>
    <col min="21" max="254" width="9.140625" style="1705"/>
    <col min="255" max="255" width="5.7109375" style="1705" customWidth="1"/>
    <col min="256" max="256" width="31.140625" style="1705" customWidth="1"/>
    <col min="257" max="261" width="8.42578125" style="1705" customWidth="1"/>
    <col min="262" max="262" width="16.140625" style="1705" customWidth="1"/>
    <col min="263" max="263" width="17.7109375" style="1705" customWidth="1"/>
    <col min="264" max="264" width="13.140625" style="1705" customWidth="1"/>
    <col min="265" max="265" width="11.7109375" style="1705" customWidth="1"/>
    <col min="266" max="510" width="9.140625" style="1705"/>
    <col min="511" max="511" width="5.7109375" style="1705" customWidth="1"/>
    <col min="512" max="512" width="31.140625" style="1705" customWidth="1"/>
    <col min="513" max="517" width="8.42578125" style="1705" customWidth="1"/>
    <col min="518" max="518" width="16.140625" style="1705" customWidth="1"/>
    <col min="519" max="519" width="17.7109375" style="1705" customWidth="1"/>
    <col min="520" max="520" width="13.140625" style="1705" customWidth="1"/>
    <col min="521" max="521" width="11.7109375" style="1705" customWidth="1"/>
    <col min="522" max="766" width="9.140625" style="1705"/>
    <col min="767" max="767" width="5.7109375" style="1705" customWidth="1"/>
    <col min="768" max="768" width="31.140625" style="1705" customWidth="1"/>
    <col min="769" max="773" width="8.42578125" style="1705" customWidth="1"/>
    <col min="774" max="774" width="16.140625" style="1705" customWidth="1"/>
    <col min="775" max="775" width="17.7109375" style="1705" customWidth="1"/>
    <col min="776" max="776" width="13.140625" style="1705" customWidth="1"/>
    <col min="777" max="777" width="11.7109375" style="1705" customWidth="1"/>
    <col min="778" max="1022" width="9.140625" style="1705"/>
    <col min="1023" max="1023" width="5.7109375" style="1705" customWidth="1"/>
    <col min="1024" max="1024" width="31.140625" style="1705" customWidth="1"/>
    <col min="1025" max="1029" width="8.42578125" style="1705" customWidth="1"/>
    <col min="1030" max="1030" width="16.140625" style="1705" customWidth="1"/>
    <col min="1031" max="1031" width="17.7109375" style="1705" customWidth="1"/>
    <col min="1032" max="1032" width="13.140625" style="1705" customWidth="1"/>
    <col min="1033" max="1033" width="11.7109375" style="1705" customWidth="1"/>
    <col min="1034" max="1278" width="9.140625" style="1705"/>
    <col min="1279" max="1279" width="5.7109375" style="1705" customWidth="1"/>
    <col min="1280" max="1280" width="31.140625" style="1705" customWidth="1"/>
    <col min="1281" max="1285" width="8.42578125" style="1705" customWidth="1"/>
    <col min="1286" max="1286" width="16.140625" style="1705" customWidth="1"/>
    <col min="1287" max="1287" width="17.7109375" style="1705" customWidth="1"/>
    <col min="1288" max="1288" width="13.140625" style="1705" customWidth="1"/>
    <col min="1289" max="1289" width="11.7109375" style="1705" customWidth="1"/>
    <col min="1290" max="1534" width="9.140625" style="1705"/>
    <col min="1535" max="1535" width="5.7109375" style="1705" customWidth="1"/>
    <col min="1536" max="1536" width="31.140625" style="1705" customWidth="1"/>
    <col min="1537" max="1541" width="8.42578125" style="1705" customWidth="1"/>
    <col min="1542" max="1542" width="16.140625" style="1705" customWidth="1"/>
    <col min="1543" max="1543" width="17.7109375" style="1705" customWidth="1"/>
    <col min="1544" max="1544" width="13.140625" style="1705" customWidth="1"/>
    <col min="1545" max="1545" width="11.7109375" style="1705" customWidth="1"/>
    <col min="1546" max="1790" width="9.140625" style="1705"/>
    <col min="1791" max="1791" width="5.7109375" style="1705" customWidth="1"/>
    <col min="1792" max="1792" width="31.140625" style="1705" customWidth="1"/>
    <col min="1793" max="1797" width="8.42578125" style="1705" customWidth="1"/>
    <col min="1798" max="1798" width="16.140625" style="1705" customWidth="1"/>
    <col min="1799" max="1799" width="17.7109375" style="1705" customWidth="1"/>
    <col min="1800" max="1800" width="13.140625" style="1705" customWidth="1"/>
    <col min="1801" max="1801" width="11.7109375" style="1705" customWidth="1"/>
    <col min="1802" max="2046" width="9.140625" style="1705"/>
    <col min="2047" max="2047" width="5.7109375" style="1705" customWidth="1"/>
    <col min="2048" max="2048" width="31.140625" style="1705" customWidth="1"/>
    <col min="2049" max="2053" width="8.42578125" style="1705" customWidth="1"/>
    <col min="2054" max="2054" width="16.140625" style="1705" customWidth="1"/>
    <col min="2055" max="2055" width="17.7109375" style="1705" customWidth="1"/>
    <col min="2056" max="2056" width="13.140625" style="1705" customWidth="1"/>
    <col min="2057" max="2057" width="11.7109375" style="1705" customWidth="1"/>
    <col min="2058" max="2302" width="9.140625" style="1705"/>
    <col min="2303" max="2303" width="5.7109375" style="1705" customWidth="1"/>
    <col min="2304" max="2304" width="31.140625" style="1705" customWidth="1"/>
    <col min="2305" max="2309" width="8.42578125" style="1705" customWidth="1"/>
    <col min="2310" max="2310" width="16.140625" style="1705" customWidth="1"/>
    <col min="2311" max="2311" width="17.7109375" style="1705" customWidth="1"/>
    <col min="2312" max="2312" width="13.140625" style="1705" customWidth="1"/>
    <col min="2313" max="2313" width="11.7109375" style="1705" customWidth="1"/>
    <col min="2314" max="2558" width="9.140625" style="1705"/>
    <col min="2559" max="2559" width="5.7109375" style="1705" customWidth="1"/>
    <col min="2560" max="2560" width="31.140625" style="1705" customWidth="1"/>
    <col min="2561" max="2565" width="8.42578125" style="1705" customWidth="1"/>
    <col min="2566" max="2566" width="16.140625" style="1705" customWidth="1"/>
    <col min="2567" max="2567" width="17.7109375" style="1705" customWidth="1"/>
    <col min="2568" max="2568" width="13.140625" style="1705" customWidth="1"/>
    <col min="2569" max="2569" width="11.7109375" style="1705" customWidth="1"/>
    <col min="2570" max="2814" width="9.140625" style="1705"/>
    <col min="2815" max="2815" width="5.7109375" style="1705" customWidth="1"/>
    <col min="2816" max="2816" width="31.140625" style="1705" customWidth="1"/>
    <col min="2817" max="2821" width="8.42578125" style="1705" customWidth="1"/>
    <col min="2822" max="2822" width="16.140625" style="1705" customWidth="1"/>
    <col min="2823" max="2823" width="17.7109375" style="1705" customWidth="1"/>
    <col min="2824" max="2824" width="13.140625" style="1705" customWidth="1"/>
    <col min="2825" max="2825" width="11.7109375" style="1705" customWidth="1"/>
    <col min="2826" max="3070" width="9.140625" style="1705"/>
    <col min="3071" max="3071" width="5.7109375" style="1705" customWidth="1"/>
    <col min="3072" max="3072" width="31.140625" style="1705" customWidth="1"/>
    <col min="3073" max="3077" width="8.42578125" style="1705" customWidth="1"/>
    <col min="3078" max="3078" width="16.140625" style="1705" customWidth="1"/>
    <col min="3079" max="3079" width="17.7109375" style="1705" customWidth="1"/>
    <col min="3080" max="3080" width="13.140625" style="1705" customWidth="1"/>
    <col min="3081" max="3081" width="11.7109375" style="1705" customWidth="1"/>
    <col min="3082" max="3326" width="9.140625" style="1705"/>
    <col min="3327" max="3327" width="5.7109375" style="1705" customWidth="1"/>
    <col min="3328" max="3328" width="31.140625" style="1705" customWidth="1"/>
    <col min="3329" max="3333" width="8.42578125" style="1705" customWidth="1"/>
    <col min="3334" max="3334" width="16.140625" style="1705" customWidth="1"/>
    <col min="3335" max="3335" width="17.7109375" style="1705" customWidth="1"/>
    <col min="3336" max="3336" width="13.140625" style="1705" customWidth="1"/>
    <col min="3337" max="3337" width="11.7109375" style="1705" customWidth="1"/>
    <col min="3338" max="3582" width="9.140625" style="1705"/>
    <col min="3583" max="3583" width="5.7109375" style="1705" customWidth="1"/>
    <col min="3584" max="3584" width="31.140625" style="1705" customWidth="1"/>
    <col min="3585" max="3589" width="8.42578125" style="1705" customWidth="1"/>
    <col min="3590" max="3590" width="16.140625" style="1705" customWidth="1"/>
    <col min="3591" max="3591" width="17.7109375" style="1705" customWidth="1"/>
    <col min="3592" max="3592" width="13.140625" style="1705" customWidth="1"/>
    <col min="3593" max="3593" width="11.7109375" style="1705" customWidth="1"/>
    <col min="3594" max="3838" width="9.140625" style="1705"/>
    <col min="3839" max="3839" width="5.7109375" style="1705" customWidth="1"/>
    <col min="3840" max="3840" width="31.140625" style="1705" customWidth="1"/>
    <col min="3841" max="3845" width="8.42578125" style="1705" customWidth="1"/>
    <col min="3846" max="3846" width="16.140625" style="1705" customWidth="1"/>
    <col min="3847" max="3847" width="17.7109375" style="1705" customWidth="1"/>
    <col min="3848" max="3848" width="13.140625" style="1705" customWidth="1"/>
    <col min="3849" max="3849" width="11.7109375" style="1705" customWidth="1"/>
    <col min="3850" max="4094" width="9.140625" style="1705"/>
    <col min="4095" max="4095" width="5.7109375" style="1705" customWidth="1"/>
    <col min="4096" max="4096" width="31.140625" style="1705" customWidth="1"/>
    <col min="4097" max="4101" width="8.42578125" style="1705" customWidth="1"/>
    <col min="4102" max="4102" width="16.140625" style="1705" customWidth="1"/>
    <col min="4103" max="4103" width="17.7109375" style="1705" customWidth="1"/>
    <col min="4104" max="4104" width="13.140625" style="1705" customWidth="1"/>
    <col min="4105" max="4105" width="11.7109375" style="1705" customWidth="1"/>
    <col min="4106" max="4350" width="9.140625" style="1705"/>
    <col min="4351" max="4351" width="5.7109375" style="1705" customWidth="1"/>
    <col min="4352" max="4352" width="31.140625" style="1705" customWidth="1"/>
    <col min="4353" max="4357" width="8.42578125" style="1705" customWidth="1"/>
    <col min="4358" max="4358" width="16.140625" style="1705" customWidth="1"/>
    <col min="4359" max="4359" width="17.7109375" style="1705" customWidth="1"/>
    <col min="4360" max="4360" width="13.140625" style="1705" customWidth="1"/>
    <col min="4361" max="4361" width="11.7109375" style="1705" customWidth="1"/>
    <col min="4362" max="4606" width="9.140625" style="1705"/>
    <col min="4607" max="4607" width="5.7109375" style="1705" customWidth="1"/>
    <col min="4608" max="4608" width="31.140625" style="1705" customWidth="1"/>
    <col min="4609" max="4613" width="8.42578125" style="1705" customWidth="1"/>
    <col min="4614" max="4614" width="16.140625" style="1705" customWidth="1"/>
    <col min="4615" max="4615" width="17.7109375" style="1705" customWidth="1"/>
    <col min="4616" max="4616" width="13.140625" style="1705" customWidth="1"/>
    <col min="4617" max="4617" width="11.7109375" style="1705" customWidth="1"/>
    <col min="4618" max="4862" width="9.140625" style="1705"/>
    <col min="4863" max="4863" width="5.7109375" style="1705" customWidth="1"/>
    <col min="4864" max="4864" width="31.140625" style="1705" customWidth="1"/>
    <col min="4865" max="4869" width="8.42578125" style="1705" customWidth="1"/>
    <col min="4870" max="4870" width="16.140625" style="1705" customWidth="1"/>
    <col min="4871" max="4871" width="17.7109375" style="1705" customWidth="1"/>
    <col min="4872" max="4872" width="13.140625" style="1705" customWidth="1"/>
    <col min="4873" max="4873" width="11.7109375" style="1705" customWidth="1"/>
    <col min="4874" max="5118" width="9.140625" style="1705"/>
    <col min="5119" max="5119" width="5.7109375" style="1705" customWidth="1"/>
    <col min="5120" max="5120" width="31.140625" style="1705" customWidth="1"/>
    <col min="5121" max="5125" width="8.42578125" style="1705" customWidth="1"/>
    <col min="5126" max="5126" width="16.140625" style="1705" customWidth="1"/>
    <col min="5127" max="5127" width="17.7109375" style="1705" customWidth="1"/>
    <col min="5128" max="5128" width="13.140625" style="1705" customWidth="1"/>
    <col min="5129" max="5129" width="11.7109375" style="1705" customWidth="1"/>
    <col min="5130" max="5374" width="9.140625" style="1705"/>
    <col min="5375" max="5375" width="5.7109375" style="1705" customWidth="1"/>
    <col min="5376" max="5376" width="31.140625" style="1705" customWidth="1"/>
    <col min="5377" max="5381" width="8.42578125" style="1705" customWidth="1"/>
    <col min="5382" max="5382" width="16.140625" style="1705" customWidth="1"/>
    <col min="5383" max="5383" width="17.7109375" style="1705" customWidth="1"/>
    <col min="5384" max="5384" width="13.140625" style="1705" customWidth="1"/>
    <col min="5385" max="5385" width="11.7109375" style="1705" customWidth="1"/>
    <col min="5386" max="5630" width="9.140625" style="1705"/>
    <col min="5631" max="5631" width="5.7109375" style="1705" customWidth="1"/>
    <col min="5632" max="5632" width="31.140625" style="1705" customWidth="1"/>
    <col min="5633" max="5637" width="8.42578125" style="1705" customWidth="1"/>
    <col min="5638" max="5638" width="16.140625" style="1705" customWidth="1"/>
    <col min="5639" max="5639" width="17.7109375" style="1705" customWidth="1"/>
    <col min="5640" max="5640" width="13.140625" style="1705" customWidth="1"/>
    <col min="5641" max="5641" width="11.7109375" style="1705" customWidth="1"/>
    <col min="5642" max="5886" width="9.140625" style="1705"/>
    <col min="5887" max="5887" width="5.7109375" style="1705" customWidth="1"/>
    <col min="5888" max="5888" width="31.140625" style="1705" customWidth="1"/>
    <col min="5889" max="5893" width="8.42578125" style="1705" customWidth="1"/>
    <col min="5894" max="5894" width="16.140625" style="1705" customWidth="1"/>
    <col min="5895" max="5895" width="17.7109375" style="1705" customWidth="1"/>
    <col min="5896" max="5896" width="13.140625" style="1705" customWidth="1"/>
    <col min="5897" max="5897" width="11.7109375" style="1705" customWidth="1"/>
    <col min="5898" max="6142" width="9.140625" style="1705"/>
    <col min="6143" max="6143" width="5.7109375" style="1705" customWidth="1"/>
    <col min="6144" max="6144" width="31.140625" style="1705" customWidth="1"/>
    <col min="6145" max="6149" width="8.42578125" style="1705" customWidth="1"/>
    <col min="6150" max="6150" width="16.140625" style="1705" customWidth="1"/>
    <col min="6151" max="6151" width="17.7109375" style="1705" customWidth="1"/>
    <col min="6152" max="6152" width="13.140625" style="1705" customWidth="1"/>
    <col min="6153" max="6153" width="11.7109375" style="1705" customWidth="1"/>
    <col min="6154" max="6398" width="9.140625" style="1705"/>
    <col min="6399" max="6399" width="5.7109375" style="1705" customWidth="1"/>
    <col min="6400" max="6400" width="31.140625" style="1705" customWidth="1"/>
    <col min="6401" max="6405" width="8.42578125" style="1705" customWidth="1"/>
    <col min="6406" max="6406" width="16.140625" style="1705" customWidth="1"/>
    <col min="6407" max="6407" width="17.7109375" style="1705" customWidth="1"/>
    <col min="6408" max="6408" width="13.140625" style="1705" customWidth="1"/>
    <col min="6409" max="6409" width="11.7109375" style="1705" customWidth="1"/>
    <col min="6410" max="6654" width="9.140625" style="1705"/>
    <col min="6655" max="6655" width="5.7109375" style="1705" customWidth="1"/>
    <col min="6656" max="6656" width="31.140625" style="1705" customWidth="1"/>
    <col min="6657" max="6661" width="8.42578125" style="1705" customWidth="1"/>
    <col min="6662" max="6662" width="16.140625" style="1705" customWidth="1"/>
    <col min="6663" max="6663" width="17.7109375" style="1705" customWidth="1"/>
    <col min="6664" max="6664" width="13.140625" style="1705" customWidth="1"/>
    <col min="6665" max="6665" width="11.7109375" style="1705" customWidth="1"/>
    <col min="6666" max="6910" width="9.140625" style="1705"/>
    <col min="6911" max="6911" width="5.7109375" style="1705" customWidth="1"/>
    <col min="6912" max="6912" width="31.140625" style="1705" customWidth="1"/>
    <col min="6913" max="6917" width="8.42578125" style="1705" customWidth="1"/>
    <col min="6918" max="6918" width="16.140625" style="1705" customWidth="1"/>
    <col min="6919" max="6919" width="17.7109375" style="1705" customWidth="1"/>
    <col min="6920" max="6920" width="13.140625" style="1705" customWidth="1"/>
    <col min="6921" max="6921" width="11.7109375" style="1705" customWidth="1"/>
    <col min="6922" max="7166" width="9.140625" style="1705"/>
    <col min="7167" max="7167" width="5.7109375" style="1705" customWidth="1"/>
    <col min="7168" max="7168" width="31.140625" style="1705" customWidth="1"/>
    <col min="7169" max="7173" width="8.42578125" style="1705" customWidth="1"/>
    <col min="7174" max="7174" width="16.140625" style="1705" customWidth="1"/>
    <col min="7175" max="7175" width="17.7109375" style="1705" customWidth="1"/>
    <col min="7176" max="7176" width="13.140625" style="1705" customWidth="1"/>
    <col min="7177" max="7177" width="11.7109375" style="1705" customWidth="1"/>
    <col min="7178" max="7422" width="9.140625" style="1705"/>
    <col min="7423" max="7423" width="5.7109375" style="1705" customWidth="1"/>
    <col min="7424" max="7424" width="31.140625" style="1705" customWidth="1"/>
    <col min="7425" max="7429" width="8.42578125" style="1705" customWidth="1"/>
    <col min="7430" max="7430" width="16.140625" style="1705" customWidth="1"/>
    <col min="7431" max="7431" width="17.7109375" style="1705" customWidth="1"/>
    <col min="7432" max="7432" width="13.140625" style="1705" customWidth="1"/>
    <col min="7433" max="7433" width="11.7109375" style="1705" customWidth="1"/>
    <col min="7434" max="7678" width="9.140625" style="1705"/>
    <col min="7679" max="7679" width="5.7109375" style="1705" customWidth="1"/>
    <col min="7680" max="7680" width="31.140625" style="1705" customWidth="1"/>
    <col min="7681" max="7685" width="8.42578125" style="1705" customWidth="1"/>
    <col min="7686" max="7686" width="16.140625" style="1705" customWidth="1"/>
    <col min="7687" max="7687" width="17.7109375" style="1705" customWidth="1"/>
    <col min="7688" max="7688" width="13.140625" style="1705" customWidth="1"/>
    <col min="7689" max="7689" width="11.7109375" style="1705" customWidth="1"/>
    <col min="7690" max="7934" width="9.140625" style="1705"/>
    <col min="7935" max="7935" width="5.7109375" style="1705" customWidth="1"/>
    <col min="7936" max="7936" width="31.140625" style="1705" customWidth="1"/>
    <col min="7937" max="7941" width="8.42578125" style="1705" customWidth="1"/>
    <col min="7942" max="7942" width="16.140625" style="1705" customWidth="1"/>
    <col min="7943" max="7943" width="17.7109375" style="1705" customWidth="1"/>
    <col min="7944" max="7944" width="13.140625" style="1705" customWidth="1"/>
    <col min="7945" max="7945" width="11.7109375" style="1705" customWidth="1"/>
    <col min="7946" max="8190" width="9.140625" style="1705"/>
    <col min="8191" max="8191" width="5.7109375" style="1705" customWidth="1"/>
    <col min="8192" max="8192" width="31.140625" style="1705" customWidth="1"/>
    <col min="8193" max="8197" width="8.42578125" style="1705" customWidth="1"/>
    <col min="8198" max="8198" width="16.140625" style="1705" customWidth="1"/>
    <col min="8199" max="8199" width="17.7109375" style="1705" customWidth="1"/>
    <col min="8200" max="8200" width="13.140625" style="1705" customWidth="1"/>
    <col min="8201" max="8201" width="11.7109375" style="1705" customWidth="1"/>
    <col min="8202" max="8446" width="9.140625" style="1705"/>
    <col min="8447" max="8447" width="5.7109375" style="1705" customWidth="1"/>
    <col min="8448" max="8448" width="31.140625" style="1705" customWidth="1"/>
    <col min="8449" max="8453" width="8.42578125" style="1705" customWidth="1"/>
    <col min="8454" max="8454" width="16.140625" style="1705" customWidth="1"/>
    <col min="8455" max="8455" width="17.7109375" style="1705" customWidth="1"/>
    <col min="8456" max="8456" width="13.140625" style="1705" customWidth="1"/>
    <col min="8457" max="8457" width="11.7109375" style="1705" customWidth="1"/>
    <col min="8458" max="8702" width="9.140625" style="1705"/>
    <col min="8703" max="8703" width="5.7109375" style="1705" customWidth="1"/>
    <col min="8704" max="8704" width="31.140625" style="1705" customWidth="1"/>
    <col min="8705" max="8709" width="8.42578125" style="1705" customWidth="1"/>
    <col min="8710" max="8710" width="16.140625" style="1705" customWidth="1"/>
    <col min="8711" max="8711" width="17.7109375" style="1705" customWidth="1"/>
    <col min="8712" max="8712" width="13.140625" style="1705" customWidth="1"/>
    <col min="8713" max="8713" width="11.7109375" style="1705" customWidth="1"/>
    <col min="8714" max="8958" width="9.140625" style="1705"/>
    <col min="8959" max="8959" width="5.7109375" style="1705" customWidth="1"/>
    <col min="8960" max="8960" width="31.140625" style="1705" customWidth="1"/>
    <col min="8961" max="8965" width="8.42578125" style="1705" customWidth="1"/>
    <col min="8966" max="8966" width="16.140625" style="1705" customWidth="1"/>
    <col min="8967" max="8967" width="17.7109375" style="1705" customWidth="1"/>
    <col min="8968" max="8968" width="13.140625" style="1705" customWidth="1"/>
    <col min="8969" max="8969" width="11.7109375" style="1705" customWidth="1"/>
    <col min="8970" max="9214" width="9.140625" style="1705"/>
    <col min="9215" max="9215" width="5.7109375" style="1705" customWidth="1"/>
    <col min="9216" max="9216" width="31.140625" style="1705" customWidth="1"/>
    <col min="9217" max="9221" width="8.42578125" style="1705" customWidth="1"/>
    <col min="9222" max="9222" width="16.140625" style="1705" customWidth="1"/>
    <col min="9223" max="9223" width="17.7109375" style="1705" customWidth="1"/>
    <col min="9224" max="9224" width="13.140625" style="1705" customWidth="1"/>
    <col min="9225" max="9225" width="11.7109375" style="1705" customWidth="1"/>
    <col min="9226" max="9470" width="9.140625" style="1705"/>
    <col min="9471" max="9471" width="5.7109375" style="1705" customWidth="1"/>
    <col min="9472" max="9472" width="31.140625" style="1705" customWidth="1"/>
    <col min="9473" max="9477" width="8.42578125" style="1705" customWidth="1"/>
    <col min="9478" max="9478" width="16.140625" style="1705" customWidth="1"/>
    <col min="9479" max="9479" width="17.7109375" style="1705" customWidth="1"/>
    <col min="9480" max="9480" width="13.140625" style="1705" customWidth="1"/>
    <col min="9481" max="9481" width="11.7109375" style="1705" customWidth="1"/>
    <col min="9482" max="9726" width="9.140625" style="1705"/>
    <col min="9727" max="9727" width="5.7109375" style="1705" customWidth="1"/>
    <col min="9728" max="9728" width="31.140625" style="1705" customWidth="1"/>
    <col min="9729" max="9733" width="8.42578125" style="1705" customWidth="1"/>
    <col min="9734" max="9734" width="16.140625" style="1705" customWidth="1"/>
    <col min="9735" max="9735" width="17.7109375" style="1705" customWidth="1"/>
    <col min="9736" max="9736" width="13.140625" style="1705" customWidth="1"/>
    <col min="9737" max="9737" width="11.7109375" style="1705" customWidth="1"/>
    <col min="9738" max="9982" width="9.140625" style="1705"/>
    <col min="9983" max="9983" width="5.7109375" style="1705" customWidth="1"/>
    <col min="9984" max="9984" width="31.140625" style="1705" customWidth="1"/>
    <col min="9985" max="9989" width="8.42578125" style="1705" customWidth="1"/>
    <col min="9990" max="9990" width="16.140625" style="1705" customWidth="1"/>
    <col min="9991" max="9991" width="17.7109375" style="1705" customWidth="1"/>
    <col min="9992" max="9992" width="13.140625" style="1705" customWidth="1"/>
    <col min="9993" max="9993" width="11.7109375" style="1705" customWidth="1"/>
    <col min="9994" max="10238" width="9.140625" style="1705"/>
    <col min="10239" max="10239" width="5.7109375" style="1705" customWidth="1"/>
    <col min="10240" max="10240" width="31.140625" style="1705" customWidth="1"/>
    <col min="10241" max="10245" width="8.42578125" style="1705" customWidth="1"/>
    <col min="10246" max="10246" width="16.140625" style="1705" customWidth="1"/>
    <col min="10247" max="10247" width="17.7109375" style="1705" customWidth="1"/>
    <col min="10248" max="10248" width="13.140625" style="1705" customWidth="1"/>
    <col min="10249" max="10249" width="11.7109375" style="1705" customWidth="1"/>
    <col min="10250" max="10494" width="9.140625" style="1705"/>
    <col min="10495" max="10495" width="5.7109375" style="1705" customWidth="1"/>
    <col min="10496" max="10496" width="31.140625" style="1705" customWidth="1"/>
    <col min="10497" max="10501" width="8.42578125" style="1705" customWidth="1"/>
    <col min="10502" max="10502" width="16.140625" style="1705" customWidth="1"/>
    <col min="10503" max="10503" width="17.7109375" style="1705" customWidth="1"/>
    <col min="10504" max="10504" width="13.140625" style="1705" customWidth="1"/>
    <col min="10505" max="10505" width="11.7109375" style="1705" customWidth="1"/>
    <col min="10506" max="10750" width="9.140625" style="1705"/>
    <col min="10751" max="10751" width="5.7109375" style="1705" customWidth="1"/>
    <col min="10752" max="10752" width="31.140625" style="1705" customWidth="1"/>
    <col min="10753" max="10757" width="8.42578125" style="1705" customWidth="1"/>
    <col min="10758" max="10758" width="16.140625" style="1705" customWidth="1"/>
    <col min="10759" max="10759" width="17.7109375" style="1705" customWidth="1"/>
    <col min="10760" max="10760" width="13.140625" style="1705" customWidth="1"/>
    <col min="10761" max="10761" width="11.7109375" style="1705" customWidth="1"/>
    <col min="10762" max="11006" width="9.140625" style="1705"/>
    <col min="11007" max="11007" width="5.7109375" style="1705" customWidth="1"/>
    <col min="11008" max="11008" width="31.140625" style="1705" customWidth="1"/>
    <col min="11009" max="11013" width="8.42578125" style="1705" customWidth="1"/>
    <col min="11014" max="11014" width="16.140625" style="1705" customWidth="1"/>
    <col min="11015" max="11015" width="17.7109375" style="1705" customWidth="1"/>
    <col min="11016" max="11016" width="13.140625" style="1705" customWidth="1"/>
    <col min="11017" max="11017" width="11.7109375" style="1705" customWidth="1"/>
    <col min="11018" max="11262" width="9.140625" style="1705"/>
    <col min="11263" max="11263" width="5.7109375" style="1705" customWidth="1"/>
    <col min="11264" max="11264" width="31.140625" style="1705" customWidth="1"/>
    <col min="11265" max="11269" width="8.42578125" style="1705" customWidth="1"/>
    <col min="11270" max="11270" width="16.140625" style="1705" customWidth="1"/>
    <col min="11271" max="11271" width="17.7109375" style="1705" customWidth="1"/>
    <col min="11272" max="11272" width="13.140625" style="1705" customWidth="1"/>
    <col min="11273" max="11273" width="11.7109375" style="1705" customWidth="1"/>
    <col min="11274" max="11518" width="9.140625" style="1705"/>
    <col min="11519" max="11519" width="5.7109375" style="1705" customWidth="1"/>
    <col min="11520" max="11520" width="31.140625" style="1705" customWidth="1"/>
    <col min="11521" max="11525" width="8.42578125" style="1705" customWidth="1"/>
    <col min="11526" max="11526" width="16.140625" style="1705" customWidth="1"/>
    <col min="11527" max="11527" width="17.7109375" style="1705" customWidth="1"/>
    <col min="11528" max="11528" width="13.140625" style="1705" customWidth="1"/>
    <col min="11529" max="11529" width="11.7109375" style="1705" customWidth="1"/>
    <col min="11530" max="11774" width="9.140625" style="1705"/>
    <col min="11775" max="11775" width="5.7109375" style="1705" customWidth="1"/>
    <col min="11776" max="11776" width="31.140625" style="1705" customWidth="1"/>
    <col min="11777" max="11781" width="8.42578125" style="1705" customWidth="1"/>
    <col min="11782" max="11782" width="16.140625" style="1705" customWidth="1"/>
    <col min="11783" max="11783" width="17.7109375" style="1705" customWidth="1"/>
    <col min="11784" max="11784" width="13.140625" style="1705" customWidth="1"/>
    <col min="11785" max="11785" width="11.7109375" style="1705" customWidth="1"/>
    <col min="11786" max="12030" width="9.140625" style="1705"/>
    <col min="12031" max="12031" width="5.7109375" style="1705" customWidth="1"/>
    <col min="12032" max="12032" width="31.140625" style="1705" customWidth="1"/>
    <col min="12033" max="12037" width="8.42578125" style="1705" customWidth="1"/>
    <col min="12038" max="12038" width="16.140625" style="1705" customWidth="1"/>
    <col min="12039" max="12039" width="17.7109375" style="1705" customWidth="1"/>
    <col min="12040" max="12040" width="13.140625" style="1705" customWidth="1"/>
    <col min="12041" max="12041" width="11.7109375" style="1705" customWidth="1"/>
    <col min="12042" max="12286" width="9.140625" style="1705"/>
    <col min="12287" max="12287" width="5.7109375" style="1705" customWidth="1"/>
    <col min="12288" max="12288" width="31.140625" style="1705" customWidth="1"/>
    <col min="12289" max="12293" width="8.42578125" style="1705" customWidth="1"/>
    <col min="12294" max="12294" width="16.140625" style="1705" customWidth="1"/>
    <col min="12295" max="12295" width="17.7109375" style="1705" customWidth="1"/>
    <col min="12296" max="12296" width="13.140625" style="1705" customWidth="1"/>
    <col min="12297" max="12297" width="11.7109375" style="1705" customWidth="1"/>
    <col min="12298" max="12542" width="9.140625" style="1705"/>
    <col min="12543" max="12543" width="5.7109375" style="1705" customWidth="1"/>
    <col min="12544" max="12544" width="31.140625" style="1705" customWidth="1"/>
    <col min="12545" max="12549" width="8.42578125" style="1705" customWidth="1"/>
    <col min="12550" max="12550" width="16.140625" style="1705" customWidth="1"/>
    <col min="12551" max="12551" width="17.7109375" style="1705" customWidth="1"/>
    <col min="12552" max="12552" width="13.140625" style="1705" customWidth="1"/>
    <col min="12553" max="12553" width="11.7109375" style="1705" customWidth="1"/>
    <col min="12554" max="12798" width="9.140625" style="1705"/>
    <col min="12799" max="12799" width="5.7109375" style="1705" customWidth="1"/>
    <col min="12800" max="12800" width="31.140625" style="1705" customWidth="1"/>
    <col min="12801" max="12805" width="8.42578125" style="1705" customWidth="1"/>
    <col min="12806" max="12806" width="16.140625" style="1705" customWidth="1"/>
    <col min="12807" max="12807" width="17.7109375" style="1705" customWidth="1"/>
    <col min="12808" max="12808" width="13.140625" style="1705" customWidth="1"/>
    <col min="12809" max="12809" width="11.7109375" style="1705" customWidth="1"/>
    <col min="12810" max="13054" width="9.140625" style="1705"/>
    <col min="13055" max="13055" width="5.7109375" style="1705" customWidth="1"/>
    <col min="13056" max="13056" width="31.140625" style="1705" customWidth="1"/>
    <col min="13057" max="13061" width="8.42578125" style="1705" customWidth="1"/>
    <col min="13062" max="13062" width="16.140625" style="1705" customWidth="1"/>
    <col min="13063" max="13063" width="17.7109375" style="1705" customWidth="1"/>
    <col min="13064" max="13064" width="13.140625" style="1705" customWidth="1"/>
    <col min="13065" max="13065" width="11.7109375" style="1705" customWidth="1"/>
    <col min="13066" max="13310" width="9.140625" style="1705"/>
    <col min="13311" max="13311" width="5.7109375" style="1705" customWidth="1"/>
    <col min="13312" max="13312" width="31.140625" style="1705" customWidth="1"/>
    <col min="13313" max="13317" width="8.42578125" style="1705" customWidth="1"/>
    <col min="13318" max="13318" width="16.140625" style="1705" customWidth="1"/>
    <col min="13319" max="13319" width="17.7109375" style="1705" customWidth="1"/>
    <col min="13320" max="13320" width="13.140625" style="1705" customWidth="1"/>
    <col min="13321" max="13321" width="11.7109375" style="1705" customWidth="1"/>
    <col min="13322" max="13566" width="9.140625" style="1705"/>
    <col min="13567" max="13567" width="5.7109375" style="1705" customWidth="1"/>
    <col min="13568" max="13568" width="31.140625" style="1705" customWidth="1"/>
    <col min="13569" max="13573" width="8.42578125" style="1705" customWidth="1"/>
    <col min="13574" max="13574" width="16.140625" style="1705" customWidth="1"/>
    <col min="13575" max="13575" width="17.7109375" style="1705" customWidth="1"/>
    <col min="13576" max="13576" width="13.140625" style="1705" customWidth="1"/>
    <col min="13577" max="13577" width="11.7109375" style="1705" customWidth="1"/>
    <col min="13578" max="13822" width="9.140625" style="1705"/>
    <col min="13823" max="13823" width="5.7109375" style="1705" customWidth="1"/>
    <col min="13824" max="13824" width="31.140625" style="1705" customWidth="1"/>
    <col min="13825" max="13829" width="8.42578125" style="1705" customWidth="1"/>
    <col min="13830" max="13830" width="16.140625" style="1705" customWidth="1"/>
    <col min="13831" max="13831" width="17.7109375" style="1705" customWidth="1"/>
    <col min="13832" max="13832" width="13.140625" style="1705" customWidth="1"/>
    <col min="13833" max="13833" width="11.7109375" style="1705" customWidth="1"/>
    <col min="13834" max="14078" width="9.140625" style="1705"/>
    <col min="14079" max="14079" width="5.7109375" style="1705" customWidth="1"/>
    <col min="14080" max="14080" width="31.140625" style="1705" customWidth="1"/>
    <col min="14081" max="14085" width="8.42578125" style="1705" customWidth="1"/>
    <col min="14086" max="14086" width="16.140625" style="1705" customWidth="1"/>
    <col min="14087" max="14087" width="17.7109375" style="1705" customWidth="1"/>
    <col min="14088" max="14088" width="13.140625" style="1705" customWidth="1"/>
    <col min="14089" max="14089" width="11.7109375" style="1705" customWidth="1"/>
    <col min="14090" max="14334" width="9.140625" style="1705"/>
    <col min="14335" max="14335" width="5.7109375" style="1705" customWidth="1"/>
    <col min="14336" max="14336" width="31.140625" style="1705" customWidth="1"/>
    <col min="14337" max="14341" width="8.42578125" style="1705" customWidth="1"/>
    <col min="14342" max="14342" width="16.140625" style="1705" customWidth="1"/>
    <col min="14343" max="14343" width="17.7109375" style="1705" customWidth="1"/>
    <col min="14344" max="14344" width="13.140625" style="1705" customWidth="1"/>
    <col min="14345" max="14345" width="11.7109375" style="1705" customWidth="1"/>
    <col min="14346" max="14590" width="9.140625" style="1705"/>
    <col min="14591" max="14591" width="5.7109375" style="1705" customWidth="1"/>
    <col min="14592" max="14592" width="31.140625" style="1705" customWidth="1"/>
    <col min="14593" max="14597" width="8.42578125" style="1705" customWidth="1"/>
    <col min="14598" max="14598" width="16.140625" style="1705" customWidth="1"/>
    <col min="14599" max="14599" width="17.7109375" style="1705" customWidth="1"/>
    <col min="14600" max="14600" width="13.140625" style="1705" customWidth="1"/>
    <col min="14601" max="14601" width="11.7109375" style="1705" customWidth="1"/>
    <col min="14602" max="14846" width="9.140625" style="1705"/>
    <col min="14847" max="14847" width="5.7109375" style="1705" customWidth="1"/>
    <col min="14848" max="14848" width="31.140625" style="1705" customWidth="1"/>
    <col min="14849" max="14853" width="8.42578125" style="1705" customWidth="1"/>
    <col min="14854" max="14854" width="16.140625" style="1705" customWidth="1"/>
    <col min="14855" max="14855" width="17.7109375" style="1705" customWidth="1"/>
    <col min="14856" max="14856" width="13.140625" style="1705" customWidth="1"/>
    <col min="14857" max="14857" width="11.7109375" style="1705" customWidth="1"/>
    <col min="14858" max="15102" width="9.140625" style="1705"/>
    <col min="15103" max="15103" width="5.7109375" style="1705" customWidth="1"/>
    <col min="15104" max="15104" width="31.140625" style="1705" customWidth="1"/>
    <col min="15105" max="15109" width="8.42578125" style="1705" customWidth="1"/>
    <col min="15110" max="15110" width="16.140625" style="1705" customWidth="1"/>
    <col min="15111" max="15111" width="17.7109375" style="1705" customWidth="1"/>
    <col min="15112" max="15112" width="13.140625" style="1705" customWidth="1"/>
    <col min="15113" max="15113" width="11.7109375" style="1705" customWidth="1"/>
    <col min="15114" max="15358" width="9.140625" style="1705"/>
    <col min="15359" max="15359" width="5.7109375" style="1705" customWidth="1"/>
    <col min="15360" max="15360" width="31.140625" style="1705" customWidth="1"/>
    <col min="15361" max="15365" width="8.42578125" style="1705" customWidth="1"/>
    <col min="15366" max="15366" width="16.140625" style="1705" customWidth="1"/>
    <col min="15367" max="15367" width="17.7109375" style="1705" customWidth="1"/>
    <col min="15368" max="15368" width="13.140625" style="1705" customWidth="1"/>
    <col min="15369" max="15369" width="11.7109375" style="1705" customWidth="1"/>
    <col min="15370" max="15614" width="9.140625" style="1705"/>
    <col min="15615" max="15615" width="5.7109375" style="1705" customWidth="1"/>
    <col min="15616" max="15616" width="31.140625" style="1705" customWidth="1"/>
    <col min="15617" max="15621" width="8.42578125" style="1705" customWidth="1"/>
    <col min="15622" max="15622" width="16.140625" style="1705" customWidth="1"/>
    <col min="15623" max="15623" width="17.7109375" style="1705" customWidth="1"/>
    <col min="15624" max="15624" width="13.140625" style="1705" customWidth="1"/>
    <col min="15625" max="15625" width="11.7109375" style="1705" customWidth="1"/>
    <col min="15626" max="15870" width="9.140625" style="1705"/>
    <col min="15871" max="15871" width="5.7109375" style="1705" customWidth="1"/>
    <col min="15872" max="15872" width="31.140625" style="1705" customWidth="1"/>
    <col min="15873" max="15877" width="8.42578125" style="1705" customWidth="1"/>
    <col min="15878" max="15878" width="16.140625" style="1705" customWidth="1"/>
    <col min="15879" max="15879" width="17.7109375" style="1705" customWidth="1"/>
    <col min="15880" max="15880" width="13.140625" style="1705" customWidth="1"/>
    <col min="15881" max="15881" width="11.7109375" style="1705" customWidth="1"/>
    <col min="15882" max="16126" width="9.140625" style="1705"/>
    <col min="16127" max="16127" width="5.7109375" style="1705" customWidth="1"/>
    <col min="16128" max="16128" width="31.140625" style="1705" customWidth="1"/>
    <col min="16129" max="16133" width="8.42578125" style="1705" customWidth="1"/>
    <col min="16134" max="16134" width="16.140625" style="1705" customWidth="1"/>
    <col min="16135" max="16135" width="17.7109375" style="1705" customWidth="1"/>
    <col min="16136" max="16136" width="13.140625" style="1705" customWidth="1"/>
    <col min="16137" max="16137" width="11.7109375" style="1705" customWidth="1"/>
    <col min="16138" max="16384" width="9.140625" style="1705"/>
  </cols>
  <sheetData>
    <row r="1" spans="1:19" ht="24.75" customHeight="1" x14ac:dyDescent="0.25">
      <c r="A1" s="3284" t="str">
        <f>'63_TT342'!A1:D1</f>
        <v>PHÒNG KINH TẾ, HẠ TẦNG VÀ ĐÔ THỊ</v>
      </c>
      <c r="B1" s="3284"/>
      <c r="C1" s="3284"/>
      <c r="E1" s="1704"/>
      <c r="F1" s="1704"/>
      <c r="G1" s="3278" t="s">
        <v>2142</v>
      </c>
      <c r="H1" s="3278"/>
      <c r="I1" s="3278"/>
    </row>
    <row r="2" spans="1:19" ht="22.5" customHeight="1" x14ac:dyDescent="0.25">
      <c r="A2" s="3290" t="s">
        <v>1590</v>
      </c>
      <c r="B2" s="3290"/>
      <c r="C2" s="3290"/>
      <c r="D2" s="3290"/>
      <c r="E2" s="3290"/>
      <c r="F2" s="3290"/>
      <c r="G2" s="3290"/>
      <c r="H2" s="3290"/>
      <c r="I2" s="3290"/>
    </row>
    <row r="3" spans="1:19" ht="21.75" customHeight="1" x14ac:dyDescent="0.25">
      <c r="A3" s="3289" t="str">
        <f>'63_TT342'!A3:H3</f>
        <v>(Kèm theo Quyết định số          /QĐ-UBND ngày          /4/2026 của UBND phường Bắc Kạn)</v>
      </c>
      <c r="B3" s="3289"/>
      <c r="C3" s="3289"/>
      <c r="D3" s="3289"/>
      <c r="E3" s="3289"/>
      <c r="F3" s="3289"/>
      <c r="G3" s="3289"/>
      <c r="H3" s="3289"/>
      <c r="I3" s="3289"/>
    </row>
    <row r="4" spans="1:19" ht="15.75" customHeight="1" x14ac:dyDescent="0.25">
      <c r="C4" s="1707"/>
      <c r="D4" s="1707"/>
      <c r="E4" s="1707"/>
      <c r="F4" s="1707"/>
      <c r="G4" s="3291" t="s">
        <v>1717</v>
      </c>
      <c r="H4" s="3291"/>
      <c r="I4" s="3291"/>
    </row>
    <row r="5" spans="1:19" ht="34.5" customHeight="1" x14ac:dyDescent="0.25">
      <c r="A5" s="2034" t="s">
        <v>0</v>
      </c>
      <c r="B5" s="2034" t="s">
        <v>1644</v>
      </c>
      <c r="C5" s="2034" t="s">
        <v>1645</v>
      </c>
      <c r="D5" s="2034" t="s">
        <v>142</v>
      </c>
      <c r="E5" s="2034" t="s">
        <v>1591</v>
      </c>
      <c r="F5" s="2034" t="s">
        <v>147</v>
      </c>
      <c r="G5" s="2034" t="s">
        <v>143</v>
      </c>
      <c r="H5" s="2035" t="s">
        <v>144</v>
      </c>
      <c r="I5" s="2036" t="s">
        <v>592</v>
      </c>
    </row>
    <row r="6" spans="1:19" s="1703" customFormat="1" ht="21.75" customHeight="1" x14ac:dyDescent="0.25">
      <c r="A6" s="2040">
        <v>1</v>
      </c>
      <c r="B6" s="2030">
        <v>2</v>
      </c>
      <c r="C6" s="2031">
        <v>3</v>
      </c>
      <c r="D6" s="2030">
        <v>4</v>
      </c>
      <c r="E6" s="2030">
        <v>5</v>
      </c>
      <c r="F6" s="2030">
        <v>6</v>
      </c>
      <c r="G6" s="2030">
        <v>7</v>
      </c>
      <c r="H6" s="2032"/>
      <c r="I6" s="2033">
        <v>8</v>
      </c>
    </row>
    <row r="7" spans="1:19" ht="25.5" customHeight="1" x14ac:dyDescent="0.25">
      <c r="A7" s="2041" t="s">
        <v>1646</v>
      </c>
      <c r="B7" s="1715" t="s">
        <v>1646</v>
      </c>
      <c r="C7" s="2034" t="s">
        <v>572</v>
      </c>
      <c r="D7" s="1715" t="s">
        <v>1646</v>
      </c>
      <c r="E7" s="1715" t="s">
        <v>1646</v>
      </c>
      <c r="F7" s="1715" t="s">
        <v>1646</v>
      </c>
      <c r="G7" s="1715" t="s">
        <v>1646</v>
      </c>
      <c r="H7" s="1715"/>
      <c r="I7" s="1717">
        <f>I8+I72+I136</f>
        <v>1461068694</v>
      </c>
      <c r="K7" s="1734"/>
      <c r="L7" s="1734"/>
      <c r="N7" s="1757">
        <v>2203347991</v>
      </c>
      <c r="S7" s="1734">
        <f>I7-I73-I126</f>
        <v>1174283720</v>
      </c>
    </row>
    <row r="8" spans="1:19" ht="52.5" customHeight="1" x14ac:dyDescent="0.25">
      <c r="A8" s="2040" t="s">
        <v>1448</v>
      </c>
      <c r="B8" s="1718" t="s">
        <v>1647</v>
      </c>
      <c r="C8" s="1708" t="s">
        <v>1932</v>
      </c>
      <c r="D8" s="1715" t="s">
        <v>1646</v>
      </c>
      <c r="E8" s="1715" t="s">
        <v>1646</v>
      </c>
      <c r="F8" s="1715" t="s">
        <v>1646</v>
      </c>
      <c r="G8" s="1715" t="s">
        <v>1646</v>
      </c>
      <c r="H8" s="1715" t="s">
        <v>1646</v>
      </c>
      <c r="I8" s="1717">
        <v>723504320</v>
      </c>
      <c r="L8" s="1705" t="s">
        <v>1914</v>
      </c>
      <c r="M8" s="1705" t="s">
        <v>1650</v>
      </c>
      <c r="N8" s="1734">
        <v>457193300</v>
      </c>
    </row>
    <row r="9" spans="1:19" ht="53.25" customHeight="1" x14ac:dyDescent="0.25">
      <c r="A9" s="2041" t="s">
        <v>1646</v>
      </c>
      <c r="B9" s="1715" t="s">
        <v>1649</v>
      </c>
      <c r="C9" s="1716" t="s">
        <v>1933</v>
      </c>
      <c r="D9" s="1715" t="s">
        <v>1646</v>
      </c>
      <c r="E9" s="1715" t="s">
        <v>1646</v>
      </c>
      <c r="F9" s="1715" t="s">
        <v>1646</v>
      </c>
      <c r="G9" s="1715" t="s">
        <v>1646</v>
      </c>
      <c r="H9" s="1715" t="s">
        <v>1646</v>
      </c>
      <c r="I9" s="1719">
        <v>301980000</v>
      </c>
      <c r="L9" s="1705" t="s">
        <v>1913</v>
      </c>
      <c r="M9" s="1705" t="s">
        <v>1600</v>
      </c>
      <c r="N9" s="1734">
        <v>1473803171</v>
      </c>
    </row>
    <row r="10" spans="1:19" ht="19.5" customHeight="1" x14ac:dyDescent="0.25">
      <c r="A10" s="2041" t="s">
        <v>1646</v>
      </c>
      <c r="B10" s="1715" t="s">
        <v>1646</v>
      </c>
      <c r="C10" s="3292" t="s">
        <v>2030</v>
      </c>
      <c r="D10" s="1715" t="s">
        <v>1592</v>
      </c>
      <c r="E10" s="1715" t="s">
        <v>1642</v>
      </c>
      <c r="F10" s="1715" t="s">
        <v>1650</v>
      </c>
      <c r="G10" s="1715" t="s">
        <v>1646</v>
      </c>
      <c r="H10" s="1715" t="s">
        <v>1646</v>
      </c>
      <c r="I10" s="1719">
        <v>35280000</v>
      </c>
      <c r="J10" s="1705" t="s">
        <v>2033</v>
      </c>
      <c r="L10" s="1705" t="s">
        <v>1915</v>
      </c>
      <c r="M10" s="1705" t="s">
        <v>1629</v>
      </c>
      <c r="N10" s="1734">
        <v>118651520</v>
      </c>
    </row>
    <row r="11" spans="1:19" ht="19.5" customHeight="1" x14ac:dyDescent="0.25">
      <c r="A11" s="2041" t="s">
        <v>1646</v>
      </c>
      <c r="B11" s="1715" t="s">
        <v>1646</v>
      </c>
      <c r="C11" s="3292"/>
      <c r="D11" s="1715" t="s">
        <v>1646</v>
      </c>
      <c r="E11" s="1715" t="s">
        <v>1646</v>
      </c>
      <c r="F11" s="1715" t="s">
        <v>1646</v>
      </c>
      <c r="G11" s="1715" t="s">
        <v>1615</v>
      </c>
      <c r="H11" s="1715" t="s">
        <v>1646</v>
      </c>
      <c r="I11" s="1719">
        <v>35280000</v>
      </c>
      <c r="K11" s="1734"/>
      <c r="L11" s="1705" t="s">
        <v>1916</v>
      </c>
      <c r="M11" s="1705" t="s">
        <v>1691</v>
      </c>
      <c r="N11" s="1734">
        <v>14610000</v>
      </c>
    </row>
    <row r="12" spans="1:19" ht="19.5" customHeight="1" x14ac:dyDescent="0.25">
      <c r="A12" s="2041" t="s">
        <v>1646</v>
      </c>
      <c r="B12" s="1715" t="s">
        <v>1646</v>
      </c>
      <c r="C12" s="3292"/>
      <c r="D12" s="1715" t="s">
        <v>1646</v>
      </c>
      <c r="E12" s="1715" t="s">
        <v>1646</v>
      </c>
      <c r="F12" s="1715" t="s">
        <v>1646</v>
      </c>
      <c r="G12" s="1715" t="s">
        <v>1615</v>
      </c>
      <c r="H12" s="1715" t="s">
        <v>1616</v>
      </c>
      <c r="I12" s="1719">
        <v>35280000</v>
      </c>
      <c r="L12" s="1705" t="s">
        <v>1917</v>
      </c>
      <c r="M12" s="1705" t="s">
        <v>1715</v>
      </c>
      <c r="N12" s="1734">
        <v>139090000</v>
      </c>
    </row>
    <row r="13" spans="1:19" ht="19.5" customHeight="1" x14ac:dyDescent="0.25">
      <c r="A13" s="2041" t="s">
        <v>1646</v>
      </c>
      <c r="B13" s="1715" t="s">
        <v>1646</v>
      </c>
      <c r="C13" s="3292"/>
      <c r="D13" s="1715" t="s">
        <v>1592</v>
      </c>
      <c r="E13" s="1715" t="s">
        <v>1600</v>
      </c>
      <c r="F13" s="1715" t="s">
        <v>1617</v>
      </c>
      <c r="G13" s="1715" t="s">
        <v>1646</v>
      </c>
      <c r="H13" s="1715" t="s">
        <v>1646</v>
      </c>
      <c r="I13" s="1719">
        <v>266700000</v>
      </c>
      <c r="J13" s="1705" t="s">
        <v>2032</v>
      </c>
    </row>
    <row r="14" spans="1:19" ht="19.5" customHeight="1" x14ac:dyDescent="0.25">
      <c r="A14" s="2041" t="s">
        <v>1646</v>
      </c>
      <c r="B14" s="1715" t="s">
        <v>1646</v>
      </c>
      <c r="C14" s="3292"/>
      <c r="D14" s="1715" t="s">
        <v>1646</v>
      </c>
      <c r="E14" s="1715" t="s">
        <v>1646</v>
      </c>
      <c r="F14" s="1715" t="s">
        <v>1646</v>
      </c>
      <c r="G14" s="1715" t="s">
        <v>1618</v>
      </c>
      <c r="H14" s="1715" t="s">
        <v>1646</v>
      </c>
      <c r="I14" s="1719">
        <v>266700000</v>
      </c>
    </row>
    <row r="15" spans="1:19" ht="19.5" customHeight="1" x14ac:dyDescent="0.25">
      <c r="A15" s="2041" t="s">
        <v>1646</v>
      </c>
      <c r="B15" s="1715" t="s">
        <v>1646</v>
      </c>
      <c r="C15" s="3292"/>
      <c r="D15" s="1715" t="s">
        <v>1646</v>
      </c>
      <c r="E15" s="1715" t="s">
        <v>1646</v>
      </c>
      <c r="F15" s="1715" t="s">
        <v>1646</v>
      </c>
      <c r="G15" s="1715" t="s">
        <v>1618</v>
      </c>
      <c r="H15" s="1715" t="s">
        <v>1622</v>
      </c>
      <c r="I15" s="1719">
        <v>266700000</v>
      </c>
      <c r="K15" s="1734"/>
    </row>
    <row r="16" spans="1:19" ht="19.5" customHeight="1" x14ac:dyDescent="0.25">
      <c r="A16" s="2041" t="s">
        <v>1646</v>
      </c>
      <c r="B16" s="1715" t="s">
        <v>1646</v>
      </c>
      <c r="C16" s="3292"/>
      <c r="D16" s="1715" t="s">
        <v>1592</v>
      </c>
      <c r="E16" s="1715" t="s">
        <v>1642</v>
      </c>
      <c r="F16" s="1715" t="s">
        <v>1650</v>
      </c>
      <c r="G16" s="1715" t="s">
        <v>1646</v>
      </c>
      <c r="H16" s="1715" t="s">
        <v>1646</v>
      </c>
      <c r="I16" s="1719">
        <v>0</v>
      </c>
    </row>
    <row r="17" spans="1:11" ht="47.25" x14ac:dyDescent="0.25">
      <c r="A17" s="2041" t="s">
        <v>1646</v>
      </c>
      <c r="B17" s="1715" t="s">
        <v>1651</v>
      </c>
      <c r="C17" s="1716" t="s">
        <v>1936</v>
      </c>
      <c r="D17" s="1715" t="s">
        <v>1646</v>
      </c>
      <c r="E17" s="1715" t="s">
        <v>1646</v>
      </c>
      <c r="F17" s="1715" t="s">
        <v>1646</v>
      </c>
      <c r="G17" s="1715" t="s">
        <v>1646</v>
      </c>
      <c r="H17" s="1715" t="s">
        <v>1646</v>
      </c>
      <c r="I17" s="1719">
        <v>141427760</v>
      </c>
      <c r="J17" s="1705" t="s">
        <v>2034</v>
      </c>
      <c r="K17" s="1734"/>
    </row>
    <row r="18" spans="1:11" ht="19.5" customHeight="1" x14ac:dyDescent="0.25">
      <c r="A18" s="2041" t="s">
        <v>1646</v>
      </c>
      <c r="B18" s="1715" t="s">
        <v>1646</v>
      </c>
      <c r="C18" s="3292" t="s">
        <v>2030</v>
      </c>
      <c r="D18" s="1715" t="s">
        <v>1592</v>
      </c>
      <c r="E18" s="1715" t="s">
        <v>1600</v>
      </c>
      <c r="F18" s="1715" t="s">
        <v>1617</v>
      </c>
      <c r="G18" s="1715" t="s">
        <v>1646</v>
      </c>
      <c r="H18" s="1715" t="s">
        <v>1646</v>
      </c>
      <c r="I18" s="1719">
        <v>141427760</v>
      </c>
      <c r="K18" s="1734"/>
    </row>
    <row r="19" spans="1:11" ht="19.5" customHeight="1" x14ac:dyDescent="0.25">
      <c r="A19" s="2041" t="s">
        <v>1646</v>
      </c>
      <c r="B19" s="2553"/>
      <c r="C19" s="3292"/>
      <c r="D19" s="1715" t="s">
        <v>1646</v>
      </c>
      <c r="E19" s="1715" t="s">
        <v>1646</v>
      </c>
      <c r="F19" s="1715" t="s">
        <v>1646</v>
      </c>
      <c r="G19" s="1715" t="s">
        <v>1652</v>
      </c>
      <c r="H19" s="1715" t="s">
        <v>1646</v>
      </c>
      <c r="I19" s="1719">
        <v>19681000</v>
      </c>
      <c r="K19" s="1734"/>
    </row>
    <row r="20" spans="1:11" ht="19.5" customHeight="1" x14ac:dyDescent="0.25">
      <c r="A20" s="2041" t="s">
        <v>1646</v>
      </c>
      <c r="B20" s="1715" t="s">
        <v>1646</v>
      </c>
      <c r="C20" s="3292"/>
      <c r="D20" s="1715" t="s">
        <v>1646</v>
      </c>
      <c r="E20" s="1715" t="s">
        <v>1646</v>
      </c>
      <c r="F20" s="1715" t="s">
        <v>1646</v>
      </c>
      <c r="G20" s="1715" t="s">
        <v>1652</v>
      </c>
      <c r="H20" s="1715" t="s">
        <v>1653</v>
      </c>
      <c r="I20" s="1719">
        <v>19681000</v>
      </c>
    </row>
    <row r="21" spans="1:11" ht="19.5" customHeight="1" x14ac:dyDescent="0.25">
      <c r="A21" s="2041" t="s">
        <v>1646</v>
      </c>
      <c r="B21" s="1715" t="s">
        <v>1646</v>
      </c>
      <c r="C21" s="3292"/>
      <c r="D21" s="1715" t="s">
        <v>1646</v>
      </c>
      <c r="E21" s="1715" t="s">
        <v>1646</v>
      </c>
      <c r="F21" s="1715" t="s">
        <v>1646</v>
      </c>
      <c r="G21" s="1715" t="s">
        <v>1654</v>
      </c>
      <c r="H21" s="1715" t="s">
        <v>1646</v>
      </c>
      <c r="I21" s="1719">
        <v>63420000</v>
      </c>
    </row>
    <row r="22" spans="1:11" ht="19.5" customHeight="1" x14ac:dyDescent="0.25">
      <c r="A22" s="2041" t="s">
        <v>1646</v>
      </c>
      <c r="B22" s="1715" t="s">
        <v>1646</v>
      </c>
      <c r="C22" s="3292"/>
      <c r="D22" s="1715" t="s">
        <v>1646</v>
      </c>
      <c r="E22" s="1715" t="s">
        <v>1646</v>
      </c>
      <c r="F22" s="1715" t="s">
        <v>1646</v>
      </c>
      <c r="G22" s="1715" t="s">
        <v>1654</v>
      </c>
      <c r="H22" s="1715" t="s">
        <v>1655</v>
      </c>
      <c r="I22" s="1719">
        <v>63420000</v>
      </c>
    </row>
    <row r="23" spans="1:11" ht="19.5" customHeight="1" x14ac:dyDescent="0.25">
      <c r="A23" s="2041" t="s">
        <v>1646</v>
      </c>
      <c r="B23" s="1715" t="s">
        <v>1646</v>
      </c>
      <c r="C23" s="3292"/>
      <c r="D23" s="1715" t="s">
        <v>1646</v>
      </c>
      <c r="E23" s="1715" t="s">
        <v>1646</v>
      </c>
      <c r="F23" s="1715" t="s">
        <v>1646</v>
      </c>
      <c r="G23" s="1715" t="s">
        <v>1618</v>
      </c>
      <c r="H23" s="1715" t="s">
        <v>1646</v>
      </c>
      <c r="I23" s="1719">
        <v>57314500</v>
      </c>
    </row>
    <row r="24" spans="1:11" ht="19.5" customHeight="1" x14ac:dyDescent="0.25">
      <c r="A24" s="2041" t="s">
        <v>1646</v>
      </c>
      <c r="B24" s="1715" t="s">
        <v>1646</v>
      </c>
      <c r="C24" s="3292"/>
      <c r="D24" s="1715" t="s">
        <v>1646</v>
      </c>
      <c r="E24" s="1715" t="s">
        <v>1646</v>
      </c>
      <c r="F24" s="1715" t="s">
        <v>1646</v>
      </c>
      <c r="G24" s="1715" t="s">
        <v>1618</v>
      </c>
      <c r="H24" s="1715" t="s">
        <v>1619</v>
      </c>
      <c r="I24" s="1719">
        <v>6706500</v>
      </c>
    </row>
    <row r="25" spans="1:11" ht="19.5" customHeight="1" x14ac:dyDescent="0.25">
      <c r="A25" s="2041" t="s">
        <v>1646</v>
      </c>
      <c r="B25" s="1715" t="s">
        <v>1646</v>
      </c>
      <c r="C25" s="3292"/>
      <c r="D25" s="1715" t="s">
        <v>1646</v>
      </c>
      <c r="E25" s="1715" t="s">
        <v>1646</v>
      </c>
      <c r="F25" s="1715" t="s">
        <v>1646</v>
      </c>
      <c r="G25" s="1715" t="s">
        <v>1618</v>
      </c>
      <c r="H25" s="1715" t="s">
        <v>1622</v>
      </c>
      <c r="I25" s="1719">
        <v>50608000</v>
      </c>
    </row>
    <row r="26" spans="1:11" ht="19.5" customHeight="1" x14ac:dyDescent="0.25">
      <c r="A26" s="2041" t="s">
        <v>1646</v>
      </c>
      <c r="B26" s="1715" t="s">
        <v>1646</v>
      </c>
      <c r="C26" s="3292"/>
      <c r="D26" s="1715" t="s">
        <v>1646</v>
      </c>
      <c r="E26" s="1715" t="s">
        <v>1646</v>
      </c>
      <c r="F26" s="1715" t="s">
        <v>1646</v>
      </c>
      <c r="G26" s="1715" t="s">
        <v>1615</v>
      </c>
      <c r="H26" s="1715" t="s">
        <v>1646</v>
      </c>
      <c r="I26" s="1719">
        <v>1012260</v>
      </c>
    </row>
    <row r="27" spans="1:11" ht="19.5" customHeight="1" x14ac:dyDescent="0.25">
      <c r="A27" s="2041" t="s">
        <v>1646</v>
      </c>
      <c r="B27" s="1715" t="s">
        <v>1646</v>
      </c>
      <c r="C27" s="3292"/>
      <c r="D27" s="1715" t="s">
        <v>1646</v>
      </c>
      <c r="E27" s="1715" t="s">
        <v>1646</v>
      </c>
      <c r="F27" s="1715" t="s">
        <v>1646</v>
      </c>
      <c r="G27" s="1715" t="s">
        <v>1615</v>
      </c>
      <c r="H27" s="1715" t="s">
        <v>1616</v>
      </c>
      <c r="I27" s="1719">
        <v>1012260</v>
      </c>
    </row>
    <row r="28" spans="1:11" ht="47.25" x14ac:dyDescent="0.25">
      <c r="A28" s="2041" t="s">
        <v>1646</v>
      </c>
      <c r="B28" s="1715" t="s">
        <v>1656</v>
      </c>
      <c r="C28" s="1716" t="s">
        <v>1938</v>
      </c>
      <c r="D28" s="1715" t="s">
        <v>1646</v>
      </c>
      <c r="E28" s="1715" t="s">
        <v>1646</v>
      </c>
      <c r="F28" s="1715" t="s">
        <v>1646</v>
      </c>
      <c r="G28" s="1715" t="s">
        <v>1646</v>
      </c>
      <c r="H28" s="1715" t="s">
        <v>1646</v>
      </c>
      <c r="I28" s="1719">
        <v>64000000</v>
      </c>
    </row>
    <row r="29" spans="1:11" ht="19.5" customHeight="1" x14ac:dyDescent="0.25">
      <c r="A29" s="2041" t="s">
        <v>1646</v>
      </c>
      <c r="B29" s="1715" t="s">
        <v>1646</v>
      </c>
      <c r="C29" s="3292" t="s">
        <v>2030</v>
      </c>
      <c r="D29" s="1715" t="s">
        <v>1592</v>
      </c>
      <c r="E29" s="1715" t="s">
        <v>1620</v>
      </c>
      <c r="F29" s="1715" t="s">
        <v>1621</v>
      </c>
      <c r="G29" s="1715" t="s">
        <v>1646</v>
      </c>
      <c r="H29" s="1715" t="s">
        <v>1646</v>
      </c>
      <c r="I29" s="1719">
        <v>50000000</v>
      </c>
      <c r="J29" s="1705" t="s">
        <v>2032</v>
      </c>
    </row>
    <row r="30" spans="1:11" ht="19.5" customHeight="1" x14ac:dyDescent="0.25">
      <c r="A30" s="2041" t="s">
        <v>1646</v>
      </c>
      <c r="B30" s="1715" t="s">
        <v>1646</v>
      </c>
      <c r="C30" s="3292"/>
      <c r="D30" s="1715" t="s">
        <v>1646</v>
      </c>
      <c r="E30" s="1715" t="s">
        <v>1646</v>
      </c>
      <c r="F30" s="1715" t="s">
        <v>1646</v>
      </c>
      <c r="G30" s="1715" t="s">
        <v>1652</v>
      </c>
      <c r="H30" s="1715" t="s">
        <v>1646</v>
      </c>
      <c r="I30" s="1719">
        <v>50000000</v>
      </c>
    </row>
    <row r="31" spans="1:11" ht="19.5" customHeight="1" x14ac:dyDescent="0.25">
      <c r="A31" s="2041" t="s">
        <v>1646</v>
      </c>
      <c r="B31" s="1715" t="s">
        <v>1646</v>
      </c>
      <c r="C31" s="3292"/>
      <c r="D31" s="1715" t="s">
        <v>1646</v>
      </c>
      <c r="E31" s="1715" t="s">
        <v>1646</v>
      </c>
      <c r="F31" s="1715" t="s">
        <v>1646</v>
      </c>
      <c r="G31" s="1715" t="s">
        <v>1652</v>
      </c>
      <c r="H31" s="1715" t="s">
        <v>1653</v>
      </c>
      <c r="I31" s="1719">
        <v>50000000</v>
      </c>
    </row>
    <row r="32" spans="1:11" ht="19.5" customHeight="1" x14ac:dyDescent="0.25">
      <c r="A32" s="2041" t="s">
        <v>1646</v>
      </c>
      <c r="B32" s="2553"/>
      <c r="C32" s="3292"/>
      <c r="D32" s="1715" t="s">
        <v>1592</v>
      </c>
      <c r="E32" s="1715" t="s">
        <v>1620</v>
      </c>
      <c r="F32" s="1715" t="s">
        <v>1621</v>
      </c>
      <c r="G32" s="1715" t="s">
        <v>1646</v>
      </c>
      <c r="H32" s="1715" t="s">
        <v>1646</v>
      </c>
      <c r="I32" s="1719">
        <v>14000000</v>
      </c>
      <c r="J32" s="1705" t="s">
        <v>2034</v>
      </c>
    </row>
    <row r="33" spans="1:11" ht="19.5" customHeight="1" x14ac:dyDescent="0.25">
      <c r="A33" s="2041" t="s">
        <v>1646</v>
      </c>
      <c r="B33" s="1715" t="s">
        <v>1646</v>
      </c>
      <c r="C33" s="3292"/>
      <c r="D33" s="1715" t="s">
        <v>1646</v>
      </c>
      <c r="E33" s="1715" t="s">
        <v>1646</v>
      </c>
      <c r="F33" s="1715" t="s">
        <v>1646</v>
      </c>
      <c r="G33" s="1715" t="s">
        <v>1609</v>
      </c>
      <c r="H33" s="1715" t="s">
        <v>1646</v>
      </c>
      <c r="I33" s="1719">
        <v>14000000</v>
      </c>
    </row>
    <row r="34" spans="1:11" ht="19.5" customHeight="1" x14ac:dyDescent="0.25">
      <c r="A34" s="2041" t="s">
        <v>1646</v>
      </c>
      <c r="B34" s="1715" t="s">
        <v>1646</v>
      </c>
      <c r="C34" s="3292"/>
      <c r="D34" s="1715" t="s">
        <v>1646</v>
      </c>
      <c r="E34" s="1715" t="s">
        <v>1646</v>
      </c>
      <c r="F34" s="1715" t="s">
        <v>1646</v>
      </c>
      <c r="G34" s="1715" t="s">
        <v>1609</v>
      </c>
      <c r="H34" s="1715" t="s">
        <v>1610</v>
      </c>
      <c r="I34" s="1719">
        <v>2661120</v>
      </c>
      <c r="K34" s="1734"/>
    </row>
    <row r="35" spans="1:11" ht="19.5" customHeight="1" x14ac:dyDescent="0.25">
      <c r="A35" s="2041" t="s">
        <v>1646</v>
      </c>
      <c r="B35" s="1715" t="s">
        <v>1646</v>
      </c>
      <c r="C35" s="3292"/>
      <c r="D35" s="1715" t="s">
        <v>1646</v>
      </c>
      <c r="E35" s="1715" t="s">
        <v>1646</v>
      </c>
      <c r="F35" s="1715" t="s">
        <v>1646</v>
      </c>
      <c r="G35" s="1715" t="s">
        <v>1609</v>
      </c>
      <c r="H35" s="1715" t="s">
        <v>1611</v>
      </c>
      <c r="I35" s="1719">
        <v>800000</v>
      </c>
    </row>
    <row r="36" spans="1:11" ht="19.5" customHeight="1" x14ac:dyDescent="0.25">
      <c r="A36" s="2041" t="s">
        <v>1646</v>
      </c>
      <c r="B36" s="1715" t="s">
        <v>1646</v>
      </c>
      <c r="C36" s="3292"/>
      <c r="D36" s="1715" t="s">
        <v>1646</v>
      </c>
      <c r="E36" s="1715" t="s">
        <v>1646</v>
      </c>
      <c r="F36" s="1715" t="s">
        <v>1646</v>
      </c>
      <c r="G36" s="1715" t="s">
        <v>1609</v>
      </c>
      <c r="H36" s="1715" t="s">
        <v>1828</v>
      </c>
      <c r="I36" s="1719">
        <v>7800000</v>
      </c>
    </row>
    <row r="37" spans="1:11" ht="19.5" customHeight="1" x14ac:dyDescent="0.25">
      <c r="A37" s="2041" t="s">
        <v>1646</v>
      </c>
      <c r="B37" s="1715" t="s">
        <v>1646</v>
      </c>
      <c r="C37" s="3292"/>
      <c r="D37" s="1715" t="s">
        <v>1646</v>
      </c>
      <c r="E37" s="1715" t="s">
        <v>1646</v>
      </c>
      <c r="F37" s="1715" t="s">
        <v>1646</v>
      </c>
      <c r="G37" s="1715" t="s">
        <v>1609</v>
      </c>
      <c r="H37" s="1715" t="s">
        <v>1612</v>
      </c>
      <c r="I37" s="1719">
        <v>2738880</v>
      </c>
    </row>
    <row r="38" spans="1:11" ht="47.25" x14ac:dyDescent="0.25">
      <c r="A38" s="2041" t="s">
        <v>1646</v>
      </c>
      <c r="B38" s="1715" t="s">
        <v>1658</v>
      </c>
      <c r="C38" s="1716" t="s">
        <v>1939</v>
      </c>
      <c r="D38" s="1715" t="s">
        <v>1646</v>
      </c>
      <c r="E38" s="1715" t="s">
        <v>1646</v>
      </c>
      <c r="F38" s="1715" t="s">
        <v>1646</v>
      </c>
      <c r="G38" s="1715" t="s">
        <v>1646</v>
      </c>
      <c r="H38" s="1715" t="s">
        <v>1646</v>
      </c>
      <c r="I38" s="1719">
        <v>203063300</v>
      </c>
    </row>
    <row r="39" spans="1:11" ht="18" customHeight="1" x14ac:dyDescent="0.25">
      <c r="A39" s="2041" t="s">
        <v>1646</v>
      </c>
      <c r="B39" s="1715" t="s">
        <v>1646</v>
      </c>
      <c r="C39" s="3292" t="s">
        <v>2030</v>
      </c>
      <c r="D39" s="1715" t="s">
        <v>1592</v>
      </c>
      <c r="E39" s="1715" t="s">
        <v>1642</v>
      </c>
      <c r="F39" s="1715" t="s">
        <v>1650</v>
      </c>
      <c r="G39" s="1715" t="s">
        <v>1646</v>
      </c>
      <c r="H39" s="1715" t="s">
        <v>1646</v>
      </c>
      <c r="I39" s="1719">
        <v>203063300</v>
      </c>
      <c r="J39" s="1705" t="s">
        <v>2032</v>
      </c>
    </row>
    <row r="40" spans="1:11" ht="18" customHeight="1" x14ac:dyDescent="0.25">
      <c r="A40" s="2041" t="s">
        <v>1646</v>
      </c>
      <c r="B40" s="1715" t="s">
        <v>1646</v>
      </c>
      <c r="C40" s="3292"/>
      <c r="D40" s="1715" t="s">
        <v>1646</v>
      </c>
      <c r="E40" s="1715" t="s">
        <v>1646</v>
      </c>
      <c r="F40" s="1715" t="s">
        <v>1646</v>
      </c>
      <c r="G40" s="1715" t="s">
        <v>1609</v>
      </c>
      <c r="H40" s="1715" t="s">
        <v>1646</v>
      </c>
      <c r="I40" s="1719">
        <v>15376800</v>
      </c>
    </row>
    <row r="41" spans="1:11" ht="18" customHeight="1" x14ac:dyDescent="0.25">
      <c r="A41" s="2041" t="s">
        <v>1646</v>
      </c>
      <c r="B41" s="1715" t="s">
        <v>1646</v>
      </c>
      <c r="C41" s="3292"/>
      <c r="D41" s="1715" t="s">
        <v>1646</v>
      </c>
      <c r="E41" s="1715" t="s">
        <v>1646</v>
      </c>
      <c r="F41" s="1715" t="s">
        <v>1646</v>
      </c>
      <c r="G41" s="1715" t="s">
        <v>1609</v>
      </c>
      <c r="H41" s="1715" t="s">
        <v>1610</v>
      </c>
      <c r="I41" s="1719">
        <v>3166800</v>
      </c>
    </row>
    <row r="42" spans="1:11" ht="18" customHeight="1" x14ac:dyDescent="0.25">
      <c r="A42" s="2041" t="s">
        <v>1646</v>
      </c>
      <c r="B42" s="1715" t="s">
        <v>1646</v>
      </c>
      <c r="C42" s="3292"/>
      <c r="D42" s="1715" t="s">
        <v>1646</v>
      </c>
      <c r="E42" s="1715" t="s">
        <v>1646</v>
      </c>
      <c r="F42" s="1715" t="s">
        <v>1646</v>
      </c>
      <c r="G42" s="1715" t="s">
        <v>1609</v>
      </c>
      <c r="H42" s="1715" t="s">
        <v>1612</v>
      </c>
      <c r="I42" s="1719">
        <v>12210000</v>
      </c>
    </row>
    <row r="43" spans="1:11" ht="18" customHeight="1" x14ac:dyDescent="0.25">
      <c r="A43" s="2041" t="s">
        <v>1646</v>
      </c>
      <c r="B43" s="2553"/>
      <c r="C43" s="3292"/>
      <c r="D43" s="1715" t="s">
        <v>1646</v>
      </c>
      <c r="E43" s="1715" t="s">
        <v>1646</v>
      </c>
      <c r="F43" s="1715" t="s">
        <v>1646</v>
      </c>
      <c r="G43" s="1715" t="s">
        <v>1660</v>
      </c>
      <c r="H43" s="1715" t="s">
        <v>1646</v>
      </c>
      <c r="I43" s="1719">
        <v>143200000</v>
      </c>
    </row>
    <row r="44" spans="1:11" ht="18" customHeight="1" x14ac:dyDescent="0.25">
      <c r="A44" s="2041" t="s">
        <v>1646</v>
      </c>
      <c r="B44" s="1715" t="s">
        <v>1646</v>
      </c>
      <c r="C44" s="3292"/>
      <c r="D44" s="1715" t="s">
        <v>1646</v>
      </c>
      <c r="E44" s="1715" t="s">
        <v>1646</v>
      </c>
      <c r="F44" s="1715" t="s">
        <v>1646</v>
      </c>
      <c r="G44" s="1715" t="s">
        <v>1660</v>
      </c>
      <c r="H44" s="1715" t="s">
        <v>1661</v>
      </c>
      <c r="I44" s="1719">
        <v>40800000</v>
      </c>
    </row>
    <row r="45" spans="1:11" ht="18" customHeight="1" x14ac:dyDescent="0.25">
      <c r="A45" s="2041" t="s">
        <v>1646</v>
      </c>
      <c r="B45" s="1715" t="s">
        <v>1646</v>
      </c>
      <c r="C45" s="3292"/>
      <c r="D45" s="1715" t="s">
        <v>1646</v>
      </c>
      <c r="E45" s="1715" t="s">
        <v>1646</v>
      </c>
      <c r="F45" s="1715" t="s">
        <v>1646</v>
      </c>
      <c r="G45" s="1715" t="s">
        <v>1660</v>
      </c>
      <c r="H45" s="1715" t="s">
        <v>1662</v>
      </c>
      <c r="I45" s="1719">
        <v>66936000</v>
      </c>
    </row>
    <row r="46" spans="1:11" ht="18" customHeight="1" x14ac:dyDescent="0.25">
      <c r="A46" s="2041" t="s">
        <v>1646</v>
      </c>
      <c r="B46" s="1715" t="s">
        <v>1646</v>
      </c>
      <c r="C46" s="3292"/>
      <c r="D46" s="1715" t="s">
        <v>1646</v>
      </c>
      <c r="E46" s="1715" t="s">
        <v>1646</v>
      </c>
      <c r="F46" s="1715" t="s">
        <v>1646</v>
      </c>
      <c r="G46" s="1715" t="s">
        <v>1660</v>
      </c>
      <c r="H46" s="1715" t="s">
        <v>1843</v>
      </c>
      <c r="I46" s="1719">
        <v>35464000</v>
      </c>
    </row>
    <row r="47" spans="1:11" ht="18" customHeight="1" x14ac:dyDescent="0.25">
      <c r="A47" s="2041" t="s">
        <v>1646</v>
      </c>
      <c r="B47" s="1715" t="s">
        <v>1646</v>
      </c>
      <c r="C47" s="3292"/>
      <c r="D47" s="1715" t="s">
        <v>1646</v>
      </c>
      <c r="E47" s="1715" t="s">
        <v>1646</v>
      </c>
      <c r="F47" s="1715" t="s">
        <v>1646</v>
      </c>
      <c r="G47" s="1715" t="s">
        <v>1654</v>
      </c>
      <c r="H47" s="1715" t="s">
        <v>1646</v>
      </c>
      <c r="I47" s="1719">
        <v>33800000</v>
      </c>
    </row>
    <row r="48" spans="1:11" ht="18" customHeight="1" x14ac:dyDescent="0.25">
      <c r="A48" s="2041" t="s">
        <v>1646</v>
      </c>
      <c r="B48" s="1715" t="s">
        <v>1646</v>
      </c>
      <c r="C48" s="3292"/>
      <c r="D48" s="1715" t="s">
        <v>1646</v>
      </c>
      <c r="E48" s="1715" t="s">
        <v>1646</v>
      </c>
      <c r="F48" s="1715" t="s">
        <v>1646</v>
      </c>
      <c r="G48" s="1715" t="s">
        <v>1654</v>
      </c>
      <c r="H48" s="1715" t="s">
        <v>1663</v>
      </c>
      <c r="I48" s="1719">
        <v>33800000</v>
      </c>
    </row>
    <row r="49" spans="1:10" ht="18" customHeight="1" x14ac:dyDescent="0.25">
      <c r="A49" s="2041" t="s">
        <v>1646</v>
      </c>
      <c r="B49" s="1715" t="s">
        <v>1646</v>
      </c>
      <c r="C49" s="3292"/>
      <c r="D49" s="1715" t="s">
        <v>1646</v>
      </c>
      <c r="E49" s="1715" t="s">
        <v>1646</v>
      </c>
      <c r="F49" s="1715" t="s">
        <v>1646</v>
      </c>
      <c r="G49" s="1715" t="s">
        <v>1618</v>
      </c>
      <c r="H49" s="1715" t="s">
        <v>1646</v>
      </c>
      <c r="I49" s="1719">
        <v>10686500</v>
      </c>
    </row>
    <row r="50" spans="1:10" ht="18" customHeight="1" x14ac:dyDescent="0.25">
      <c r="A50" s="2041" t="s">
        <v>1646</v>
      </c>
      <c r="B50" s="1715" t="s">
        <v>1646</v>
      </c>
      <c r="C50" s="3292"/>
      <c r="D50" s="1715" t="s">
        <v>1646</v>
      </c>
      <c r="E50" s="1715" t="s">
        <v>1646</v>
      </c>
      <c r="F50" s="1715" t="s">
        <v>1646</v>
      </c>
      <c r="G50" s="1715" t="s">
        <v>1618</v>
      </c>
      <c r="H50" s="1715" t="s">
        <v>1619</v>
      </c>
      <c r="I50" s="1719">
        <v>2111500</v>
      </c>
    </row>
    <row r="51" spans="1:10" ht="18" customHeight="1" x14ac:dyDescent="0.25">
      <c r="A51" s="2041" t="s">
        <v>1646</v>
      </c>
      <c r="B51" s="1715" t="s">
        <v>1646</v>
      </c>
      <c r="C51" s="3292"/>
      <c r="D51" s="1715" t="s">
        <v>1646</v>
      </c>
      <c r="E51" s="1715" t="s">
        <v>1646</v>
      </c>
      <c r="F51" s="1715" t="s">
        <v>1646</v>
      </c>
      <c r="G51" s="1715" t="s">
        <v>1618</v>
      </c>
      <c r="H51" s="1715" t="s">
        <v>1622</v>
      </c>
      <c r="I51" s="1719">
        <v>8575000</v>
      </c>
    </row>
    <row r="52" spans="1:10" ht="47.25" hidden="1" x14ac:dyDescent="0.25">
      <c r="A52" s="2041" t="s">
        <v>1646</v>
      </c>
      <c r="B52" s="1715" t="s">
        <v>1664</v>
      </c>
      <c r="C52" s="1716" t="s">
        <v>1940</v>
      </c>
      <c r="D52" s="1715" t="s">
        <v>1646</v>
      </c>
      <c r="E52" s="1715" t="s">
        <v>1646</v>
      </c>
      <c r="F52" s="1715" t="s">
        <v>1646</v>
      </c>
      <c r="G52" s="1715" t="s">
        <v>1646</v>
      </c>
      <c r="H52" s="1715" t="s">
        <v>1646</v>
      </c>
      <c r="I52" s="1719">
        <v>0</v>
      </c>
    </row>
    <row r="53" spans="1:10" hidden="1" x14ac:dyDescent="0.25">
      <c r="A53" s="2041" t="s">
        <v>1646</v>
      </c>
      <c r="B53" s="1715" t="s">
        <v>1646</v>
      </c>
      <c r="C53" s="3288" t="s">
        <v>2031</v>
      </c>
      <c r="D53" s="1715" t="s">
        <v>1592</v>
      </c>
      <c r="E53" s="1715" t="s">
        <v>1600</v>
      </c>
      <c r="F53" s="1715" t="s">
        <v>1617</v>
      </c>
      <c r="G53" s="1715" t="s">
        <v>1646</v>
      </c>
      <c r="H53" s="1715" t="s">
        <v>1646</v>
      </c>
      <c r="I53" s="1719">
        <v>0</v>
      </c>
    </row>
    <row r="54" spans="1:10" ht="31.5" hidden="1" customHeight="1" x14ac:dyDescent="0.25">
      <c r="A54" s="2041" t="s">
        <v>1646</v>
      </c>
      <c r="B54" s="1715" t="s">
        <v>1646</v>
      </c>
      <c r="C54" s="3288"/>
      <c r="D54" s="1715" t="s">
        <v>1592</v>
      </c>
      <c r="E54" s="1715" t="s">
        <v>1642</v>
      </c>
      <c r="F54" s="1715" t="s">
        <v>1650</v>
      </c>
      <c r="G54" s="1715" t="s">
        <v>1646</v>
      </c>
      <c r="H54" s="1715" t="s">
        <v>1646</v>
      </c>
      <c r="I54" s="1719">
        <v>0</v>
      </c>
    </row>
    <row r="55" spans="1:10" ht="47.25" x14ac:dyDescent="0.25">
      <c r="A55" s="2041" t="s">
        <v>1646</v>
      </c>
      <c r="B55" s="2555">
        <v>20474</v>
      </c>
      <c r="C55" s="1716" t="s">
        <v>1941</v>
      </c>
      <c r="D55" s="1715" t="s">
        <v>1646</v>
      </c>
      <c r="E55" s="1715" t="s">
        <v>1646</v>
      </c>
      <c r="F55" s="1715" t="s">
        <v>1646</v>
      </c>
      <c r="G55" s="1715" t="s">
        <v>1646</v>
      </c>
      <c r="H55" s="1715" t="s">
        <v>1646</v>
      </c>
      <c r="I55" s="1719">
        <v>4381740</v>
      </c>
      <c r="J55" s="1705" t="s">
        <v>2034</v>
      </c>
    </row>
    <row r="56" spans="1:10" ht="19.5" customHeight="1" x14ac:dyDescent="0.25">
      <c r="A56" s="2041" t="s">
        <v>1646</v>
      </c>
      <c r="B56" s="1715" t="s">
        <v>1646</v>
      </c>
      <c r="C56" s="3288" t="s">
        <v>2031</v>
      </c>
      <c r="D56" s="1715" t="s">
        <v>1592</v>
      </c>
      <c r="E56" s="1715" t="s">
        <v>1600</v>
      </c>
      <c r="F56" s="1715" t="s">
        <v>1617</v>
      </c>
      <c r="G56" s="1715" t="s">
        <v>1646</v>
      </c>
      <c r="H56" s="1715" t="s">
        <v>1646</v>
      </c>
      <c r="I56" s="1719">
        <v>4381740</v>
      </c>
    </row>
    <row r="57" spans="1:10" ht="19.5" customHeight="1" x14ac:dyDescent="0.25">
      <c r="A57" s="2041" t="s">
        <v>1646</v>
      </c>
      <c r="B57" s="1715" t="s">
        <v>1646</v>
      </c>
      <c r="C57" s="3288"/>
      <c r="D57" s="1715" t="s">
        <v>1646</v>
      </c>
      <c r="E57" s="1715" t="s">
        <v>1646</v>
      </c>
      <c r="F57" s="1715" t="s">
        <v>1646</v>
      </c>
      <c r="G57" s="1715" t="s">
        <v>1609</v>
      </c>
      <c r="H57" s="1715" t="s">
        <v>1646</v>
      </c>
      <c r="I57" s="1719">
        <v>1600000</v>
      </c>
    </row>
    <row r="58" spans="1:10" ht="19.5" customHeight="1" x14ac:dyDescent="0.25">
      <c r="A58" s="2041" t="s">
        <v>1646</v>
      </c>
      <c r="B58" s="1715" t="s">
        <v>1646</v>
      </c>
      <c r="C58" s="3288"/>
      <c r="D58" s="1715" t="s">
        <v>1646</v>
      </c>
      <c r="E58" s="1715" t="s">
        <v>1646</v>
      </c>
      <c r="F58" s="1715" t="s">
        <v>1646</v>
      </c>
      <c r="G58" s="1715" t="s">
        <v>1609</v>
      </c>
      <c r="H58" s="1715" t="s">
        <v>1611</v>
      </c>
      <c r="I58" s="1719">
        <v>1600000</v>
      </c>
    </row>
    <row r="59" spans="1:10" ht="19.5" customHeight="1" x14ac:dyDescent="0.25">
      <c r="A59" s="2041" t="s">
        <v>1646</v>
      </c>
      <c r="B59" s="2553"/>
      <c r="C59" s="3288"/>
      <c r="D59" s="1715" t="s">
        <v>1646</v>
      </c>
      <c r="E59" s="1715" t="s">
        <v>1646</v>
      </c>
      <c r="F59" s="1715" t="s">
        <v>1646</v>
      </c>
      <c r="G59" s="1715" t="s">
        <v>1615</v>
      </c>
      <c r="H59" s="1715" t="s">
        <v>1646</v>
      </c>
      <c r="I59" s="1719">
        <v>2781740</v>
      </c>
    </row>
    <row r="60" spans="1:10" ht="19.5" customHeight="1" x14ac:dyDescent="0.25">
      <c r="A60" s="2041" t="s">
        <v>1646</v>
      </c>
      <c r="B60" s="1715" t="s">
        <v>1646</v>
      </c>
      <c r="C60" s="3288"/>
      <c r="D60" s="1715" t="s">
        <v>1646</v>
      </c>
      <c r="E60" s="1715" t="s">
        <v>1646</v>
      </c>
      <c r="F60" s="1715" t="s">
        <v>1646</v>
      </c>
      <c r="G60" s="1715" t="s">
        <v>1615</v>
      </c>
      <c r="H60" s="1715" t="s">
        <v>1616</v>
      </c>
      <c r="I60" s="1719">
        <v>2781740</v>
      </c>
    </row>
    <row r="61" spans="1:10" ht="57" customHeight="1" x14ac:dyDescent="0.25">
      <c r="A61" s="2041" t="s">
        <v>1646</v>
      </c>
      <c r="B61" s="1715" t="s">
        <v>1668</v>
      </c>
      <c r="C61" s="1716" t="s">
        <v>1942</v>
      </c>
      <c r="D61" s="1715" t="s">
        <v>1646</v>
      </c>
      <c r="E61" s="1715" t="s">
        <v>1646</v>
      </c>
      <c r="F61" s="1715" t="s">
        <v>1646</v>
      </c>
      <c r="G61" s="1715" t="s">
        <v>1646</v>
      </c>
      <c r="H61" s="1715" t="s">
        <v>1646</v>
      </c>
      <c r="I61" s="1719">
        <v>3651520</v>
      </c>
    </row>
    <row r="62" spans="1:10" ht="19.5" customHeight="1" x14ac:dyDescent="0.25">
      <c r="A62" s="2041" t="s">
        <v>1646</v>
      </c>
      <c r="B62" s="1715" t="s">
        <v>1646</v>
      </c>
      <c r="C62" s="3288" t="s">
        <v>2031</v>
      </c>
      <c r="D62" s="1715" t="s">
        <v>1592</v>
      </c>
      <c r="E62" s="1715" t="s">
        <v>1620</v>
      </c>
      <c r="F62" s="1715" t="s">
        <v>1621</v>
      </c>
      <c r="G62" s="1715" t="s">
        <v>1646</v>
      </c>
      <c r="H62" s="1715" t="s">
        <v>1646</v>
      </c>
      <c r="I62" s="1719">
        <v>1600000</v>
      </c>
      <c r="J62" s="1705" t="s">
        <v>2032</v>
      </c>
    </row>
    <row r="63" spans="1:10" ht="19.5" customHeight="1" x14ac:dyDescent="0.25">
      <c r="A63" s="2041" t="s">
        <v>1646</v>
      </c>
      <c r="B63" s="1715" t="s">
        <v>1646</v>
      </c>
      <c r="C63" s="3288"/>
      <c r="D63" s="1715" t="s">
        <v>1646</v>
      </c>
      <c r="E63" s="1715" t="s">
        <v>1646</v>
      </c>
      <c r="F63" s="1715" t="s">
        <v>1646</v>
      </c>
      <c r="G63" s="1715" t="s">
        <v>1652</v>
      </c>
      <c r="H63" s="1715" t="s">
        <v>1646</v>
      </c>
      <c r="I63" s="1719">
        <v>1600000</v>
      </c>
    </row>
    <row r="64" spans="1:10" ht="19.5" customHeight="1" x14ac:dyDescent="0.25">
      <c r="A64" s="2041" t="s">
        <v>1646</v>
      </c>
      <c r="B64" s="1715" t="s">
        <v>1646</v>
      </c>
      <c r="C64" s="3288"/>
      <c r="D64" s="1715" t="s">
        <v>1646</v>
      </c>
      <c r="E64" s="1715" t="s">
        <v>1646</v>
      </c>
      <c r="F64" s="1715" t="s">
        <v>1646</v>
      </c>
      <c r="G64" s="1715" t="s">
        <v>1652</v>
      </c>
      <c r="H64" s="1715" t="s">
        <v>1653</v>
      </c>
      <c r="I64" s="1719">
        <v>1600000</v>
      </c>
    </row>
    <row r="65" spans="1:20" ht="19.5" customHeight="1" x14ac:dyDescent="0.25">
      <c r="A65" s="2041" t="s">
        <v>1646</v>
      </c>
      <c r="B65" s="1715"/>
      <c r="C65" s="3288"/>
      <c r="D65" s="1715" t="s">
        <v>1592</v>
      </c>
      <c r="E65" s="1715" t="s">
        <v>1620</v>
      </c>
      <c r="F65" s="1715" t="s">
        <v>1621</v>
      </c>
      <c r="G65" s="1715" t="s">
        <v>1646</v>
      </c>
      <c r="H65" s="1715" t="s">
        <v>1646</v>
      </c>
      <c r="I65" s="1719">
        <v>2051520</v>
      </c>
      <c r="J65" s="1705" t="s">
        <v>2034</v>
      </c>
    </row>
    <row r="66" spans="1:20" ht="19.5" customHeight="1" x14ac:dyDescent="0.25">
      <c r="A66" s="2041" t="s">
        <v>1646</v>
      </c>
      <c r="B66" s="1715" t="s">
        <v>1646</v>
      </c>
      <c r="C66" s="3288"/>
      <c r="D66" s="1715" t="s">
        <v>1646</v>
      </c>
      <c r="E66" s="1715" t="s">
        <v>1646</v>
      </c>
      <c r="F66" s="1715" t="s">
        <v>1646</v>
      </c>
      <c r="G66" s="1715" t="s">
        <v>1609</v>
      </c>
      <c r="H66" s="1715" t="s">
        <v>1646</v>
      </c>
      <c r="I66" s="1719">
        <v>2051520</v>
      </c>
    </row>
    <row r="67" spans="1:20" ht="19.5" customHeight="1" x14ac:dyDescent="0.25">
      <c r="A67" s="2041" t="s">
        <v>1646</v>
      </c>
      <c r="B67" s="1715" t="s">
        <v>1646</v>
      </c>
      <c r="C67" s="3288"/>
      <c r="D67" s="1715" t="s">
        <v>1646</v>
      </c>
      <c r="E67" s="1715" t="s">
        <v>1646</v>
      </c>
      <c r="F67" s="1715" t="s">
        <v>1646</v>
      </c>
      <c r="G67" s="1715" t="s">
        <v>1609</v>
      </c>
      <c r="H67" s="1715" t="s">
        <v>1612</v>
      </c>
      <c r="I67" s="1719">
        <v>2051520</v>
      </c>
    </row>
    <row r="68" spans="1:20" ht="54" customHeight="1" x14ac:dyDescent="0.25">
      <c r="A68" s="2041" t="s">
        <v>1646</v>
      </c>
      <c r="B68" s="1715" t="s">
        <v>1670</v>
      </c>
      <c r="C68" s="1716" t="s">
        <v>1943</v>
      </c>
      <c r="D68" s="1715" t="s">
        <v>1646</v>
      </c>
      <c r="E68" s="1715" t="s">
        <v>1646</v>
      </c>
      <c r="F68" s="1715" t="s">
        <v>1646</v>
      </c>
      <c r="G68" s="1715" t="s">
        <v>1646</v>
      </c>
      <c r="H68" s="1715" t="s">
        <v>1646</v>
      </c>
      <c r="I68" s="1719">
        <v>5000000</v>
      </c>
    </row>
    <row r="69" spans="1:20" ht="19.5" customHeight="1" x14ac:dyDescent="0.25">
      <c r="A69" s="2041" t="s">
        <v>1646</v>
      </c>
      <c r="B69" s="1715" t="s">
        <v>1646</v>
      </c>
      <c r="C69" s="3288" t="s">
        <v>2031</v>
      </c>
      <c r="D69" s="1715" t="s">
        <v>1592</v>
      </c>
      <c r="E69" s="1715" t="s">
        <v>1642</v>
      </c>
      <c r="F69" s="1715" t="s">
        <v>1650</v>
      </c>
      <c r="G69" s="1715" t="s">
        <v>1646</v>
      </c>
      <c r="H69" s="1715" t="s">
        <v>1646</v>
      </c>
      <c r="I69" s="1719">
        <v>5000000</v>
      </c>
      <c r="J69" s="1705" t="s">
        <v>2032</v>
      </c>
    </row>
    <row r="70" spans="1:20" ht="19.5" customHeight="1" x14ac:dyDescent="0.25">
      <c r="A70" s="2041" t="s">
        <v>1646</v>
      </c>
      <c r="B70" s="1715" t="s">
        <v>1646</v>
      </c>
      <c r="C70" s="3288"/>
      <c r="D70" s="1715" t="s">
        <v>1646</v>
      </c>
      <c r="E70" s="1715" t="s">
        <v>1646</v>
      </c>
      <c r="F70" s="1715" t="s">
        <v>1646</v>
      </c>
      <c r="G70" s="1715" t="s">
        <v>1654</v>
      </c>
      <c r="H70" s="1715" t="s">
        <v>1646</v>
      </c>
      <c r="I70" s="1719">
        <v>5000000</v>
      </c>
    </row>
    <row r="71" spans="1:20" ht="19.5" customHeight="1" x14ac:dyDescent="0.25">
      <c r="A71" s="2041" t="s">
        <v>1646</v>
      </c>
      <c r="B71" s="1715" t="s">
        <v>1646</v>
      </c>
      <c r="C71" s="3288"/>
      <c r="D71" s="1715" t="s">
        <v>1646</v>
      </c>
      <c r="E71" s="1715" t="s">
        <v>1646</v>
      </c>
      <c r="F71" s="1715" t="s">
        <v>1646</v>
      </c>
      <c r="G71" s="1715" t="s">
        <v>1654</v>
      </c>
      <c r="H71" s="1715" t="s">
        <v>1663</v>
      </c>
      <c r="I71" s="1719">
        <v>5000000</v>
      </c>
    </row>
    <row r="72" spans="1:20" ht="57" customHeight="1" x14ac:dyDescent="0.25">
      <c r="A72" s="2040" t="s">
        <v>1449</v>
      </c>
      <c r="B72" s="1718" t="s">
        <v>1672</v>
      </c>
      <c r="C72" s="1708" t="s">
        <v>1944</v>
      </c>
      <c r="D72" s="1715" t="s">
        <v>1646</v>
      </c>
      <c r="E72" s="1715" t="s">
        <v>1646</v>
      </c>
      <c r="F72" s="1715" t="s">
        <v>1646</v>
      </c>
      <c r="G72" s="1715" t="s">
        <v>1646</v>
      </c>
      <c r="H72" s="1715" t="s">
        <v>1646</v>
      </c>
      <c r="I72" s="1717">
        <v>471954374</v>
      </c>
      <c r="J72" s="1705" t="s">
        <v>2032</v>
      </c>
    </row>
    <row r="73" spans="1:20" ht="95.25" customHeight="1" x14ac:dyDescent="0.25">
      <c r="A73" s="2041" t="s">
        <v>1646</v>
      </c>
      <c r="B73" s="1715" t="s">
        <v>1674</v>
      </c>
      <c r="C73" s="1716" t="s">
        <v>1945</v>
      </c>
      <c r="D73" s="1715" t="s">
        <v>1646</v>
      </c>
      <c r="E73" s="1715" t="s">
        <v>1646</v>
      </c>
      <c r="F73" s="1715" t="s">
        <v>1646</v>
      </c>
      <c r="G73" s="1715" t="s">
        <v>1646</v>
      </c>
      <c r="H73" s="1715" t="s">
        <v>1646</v>
      </c>
      <c r="I73" s="1719">
        <v>282717814</v>
      </c>
      <c r="S73" s="1734">
        <f>I73+I126</f>
        <v>286784974</v>
      </c>
      <c r="T73" s="1734">
        <f>I72-S73</f>
        <v>185169400</v>
      </c>
    </row>
    <row r="74" spans="1:20" ht="56.25" customHeight="1" x14ac:dyDescent="0.25">
      <c r="A74" s="2041" t="s">
        <v>1646</v>
      </c>
      <c r="B74" s="1715" t="s">
        <v>1646</v>
      </c>
      <c r="C74" s="1716" t="s">
        <v>1946</v>
      </c>
      <c r="D74" s="1715" t="s">
        <v>1592</v>
      </c>
      <c r="E74" s="1715" t="s">
        <v>1600</v>
      </c>
      <c r="F74" s="1715" t="s">
        <v>1603</v>
      </c>
      <c r="G74" s="1715" t="s">
        <v>1646</v>
      </c>
      <c r="H74" s="1715" t="s">
        <v>1646</v>
      </c>
      <c r="I74" s="1719">
        <v>41126951</v>
      </c>
      <c r="J74" s="1705" t="s">
        <v>2032</v>
      </c>
    </row>
    <row r="75" spans="1:20" ht="19.5" customHeight="1" x14ac:dyDescent="0.25">
      <c r="A75" s="2041" t="s">
        <v>1646</v>
      </c>
      <c r="B75" s="1715" t="s">
        <v>1646</v>
      </c>
      <c r="C75" s="3288" t="s">
        <v>2030</v>
      </c>
      <c r="D75" s="1715" t="s">
        <v>1646</v>
      </c>
      <c r="E75" s="1715" t="s">
        <v>1646</v>
      </c>
      <c r="F75" s="1715" t="s">
        <v>1646</v>
      </c>
      <c r="G75" s="1715" t="s">
        <v>1595</v>
      </c>
      <c r="H75" s="1715" t="s">
        <v>1646</v>
      </c>
      <c r="I75" s="1719">
        <v>37465950</v>
      </c>
    </row>
    <row r="76" spans="1:20" ht="19.5" customHeight="1" x14ac:dyDescent="0.25">
      <c r="A76" s="2041" t="s">
        <v>1646</v>
      </c>
      <c r="B76" s="1715" t="s">
        <v>1646</v>
      </c>
      <c r="C76" s="3288"/>
      <c r="D76" s="1715" t="s">
        <v>1646</v>
      </c>
      <c r="E76" s="1715" t="s">
        <v>1646</v>
      </c>
      <c r="F76" s="1715" t="s">
        <v>1646</v>
      </c>
      <c r="G76" s="1715" t="s">
        <v>1595</v>
      </c>
      <c r="H76" s="1715" t="s">
        <v>1596</v>
      </c>
      <c r="I76" s="1719">
        <v>37465950</v>
      </c>
    </row>
    <row r="77" spans="1:20" ht="19.5" customHeight="1" x14ac:dyDescent="0.25">
      <c r="A77" s="2041" t="s">
        <v>1646</v>
      </c>
      <c r="B77" s="1715" t="s">
        <v>1646</v>
      </c>
      <c r="C77" s="3288"/>
      <c r="D77" s="1715" t="s">
        <v>1646</v>
      </c>
      <c r="E77" s="1715" t="s">
        <v>1646</v>
      </c>
      <c r="F77" s="1715" t="s">
        <v>1646</v>
      </c>
      <c r="G77" s="1715" t="s">
        <v>1597</v>
      </c>
      <c r="H77" s="1715" t="s">
        <v>1646</v>
      </c>
      <c r="I77" s="1719">
        <v>3661001</v>
      </c>
    </row>
    <row r="78" spans="1:20" ht="19.5" customHeight="1" x14ac:dyDescent="0.25">
      <c r="A78" s="2041" t="s">
        <v>1646</v>
      </c>
      <c r="B78" s="1715" t="s">
        <v>1646</v>
      </c>
      <c r="C78" s="3288"/>
      <c r="D78" s="1715" t="s">
        <v>1646</v>
      </c>
      <c r="E78" s="1715" t="s">
        <v>1646</v>
      </c>
      <c r="F78" s="1715" t="s">
        <v>1646</v>
      </c>
      <c r="G78" s="1715" t="s">
        <v>1597</v>
      </c>
      <c r="H78" s="1715" t="s">
        <v>1598</v>
      </c>
      <c r="I78" s="1719">
        <v>3661001</v>
      </c>
    </row>
    <row r="79" spans="1:20" ht="47.25" x14ac:dyDescent="0.25">
      <c r="A79" s="2041" t="s">
        <v>1646</v>
      </c>
      <c r="B79" s="1715" t="s">
        <v>1646</v>
      </c>
      <c r="C79" s="1716" t="s">
        <v>1947</v>
      </c>
      <c r="D79" s="1715" t="s">
        <v>1592</v>
      </c>
      <c r="E79" s="1715" t="s">
        <v>1600</v>
      </c>
      <c r="F79" s="1715" t="s">
        <v>1603</v>
      </c>
      <c r="G79" s="1715" t="s">
        <v>1646</v>
      </c>
      <c r="H79" s="1715" t="s">
        <v>1646</v>
      </c>
      <c r="I79" s="1719">
        <v>26239974</v>
      </c>
      <c r="J79" s="1705" t="s">
        <v>2032</v>
      </c>
    </row>
    <row r="80" spans="1:20" ht="19.5" customHeight="1" x14ac:dyDescent="0.25">
      <c r="A80" s="2041" t="s">
        <v>1646</v>
      </c>
      <c r="B80" s="1715" t="s">
        <v>1646</v>
      </c>
      <c r="C80" s="3288" t="s">
        <v>2030</v>
      </c>
      <c r="D80" s="1715" t="s">
        <v>1646</v>
      </c>
      <c r="E80" s="1715" t="s">
        <v>1646</v>
      </c>
      <c r="F80" s="1715" t="s">
        <v>1646</v>
      </c>
      <c r="G80" s="1715" t="s">
        <v>1595</v>
      </c>
      <c r="H80" s="1715" t="s">
        <v>1646</v>
      </c>
      <c r="I80" s="1719">
        <v>26239974</v>
      </c>
    </row>
    <row r="81" spans="1:10" ht="19.5" customHeight="1" x14ac:dyDescent="0.25">
      <c r="A81" s="2041" t="s">
        <v>1646</v>
      </c>
      <c r="B81" s="2553"/>
      <c r="C81" s="3288"/>
      <c r="D81" s="1715" t="s">
        <v>1646</v>
      </c>
      <c r="E81" s="1715" t="s">
        <v>1646</v>
      </c>
      <c r="F81" s="1715" t="s">
        <v>1646</v>
      </c>
      <c r="G81" s="1715" t="s">
        <v>1595</v>
      </c>
      <c r="H81" s="1715" t="s">
        <v>1596</v>
      </c>
      <c r="I81" s="1719">
        <v>26239974</v>
      </c>
    </row>
    <row r="82" spans="1:10" ht="31.5" x14ac:dyDescent="0.25">
      <c r="A82" s="2041" t="s">
        <v>1646</v>
      </c>
      <c r="B82" s="1715" t="s">
        <v>1646</v>
      </c>
      <c r="C82" s="1716" t="s">
        <v>1948</v>
      </c>
      <c r="D82" s="1715" t="s">
        <v>1592</v>
      </c>
      <c r="E82" s="1715" t="s">
        <v>1600</v>
      </c>
      <c r="F82" s="1715" t="s">
        <v>1603</v>
      </c>
      <c r="G82" s="1715" t="s">
        <v>1646</v>
      </c>
      <c r="H82" s="1715" t="s">
        <v>1646</v>
      </c>
      <c r="I82" s="1719">
        <v>40967411</v>
      </c>
      <c r="J82" s="1705" t="s">
        <v>2032</v>
      </c>
    </row>
    <row r="83" spans="1:10" ht="19.5" customHeight="1" x14ac:dyDescent="0.25">
      <c r="A83" s="2041" t="s">
        <v>1646</v>
      </c>
      <c r="B83" s="1715" t="s">
        <v>1646</v>
      </c>
      <c r="C83" s="1716" t="s">
        <v>1646</v>
      </c>
      <c r="D83" s="1715" t="s">
        <v>1646</v>
      </c>
      <c r="E83" s="1715" t="s">
        <v>1646</v>
      </c>
      <c r="F83" s="1715" t="s">
        <v>1646</v>
      </c>
      <c r="G83" s="1715" t="s">
        <v>1595</v>
      </c>
      <c r="H83" s="1715" t="s">
        <v>1646</v>
      </c>
      <c r="I83" s="1719">
        <v>37040683</v>
      </c>
    </row>
    <row r="84" spans="1:10" ht="19.5" customHeight="1" x14ac:dyDescent="0.25">
      <c r="A84" s="2041" t="s">
        <v>1646</v>
      </c>
      <c r="B84" s="1715" t="s">
        <v>1646</v>
      </c>
      <c r="C84" s="1716" t="s">
        <v>1646</v>
      </c>
      <c r="D84" s="1715" t="s">
        <v>1646</v>
      </c>
      <c r="E84" s="1715" t="s">
        <v>1646</v>
      </c>
      <c r="F84" s="1715" t="s">
        <v>1646</v>
      </c>
      <c r="G84" s="1715" t="s">
        <v>1595</v>
      </c>
      <c r="H84" s="1715" t="s">
        <v>1596</v>
      </c>
      <c r="I84" s="1719">
        <v>37040683</v>
      </c>
    </row>
    <row r="85" spans="1:10" ht="19.5" customHeight="1" x14ac:dyDescent="0.25">
      <c r="A85" s="2041" t="s">
        <v>1646</v>
      </c>
      <c r="B85" s="1715" t="s">
        <v>1646</v>
      </c>
      <c r="C85" s="1716" t="s">
        <v>1646</v>
      </c>
      <c r="D85" s="1715" t="s">
        <v>1646</v>
      </c>
      <c r="E85" s="1715" t="s">
        <v>1646</v>
      </c>
      <c r="F85" s="1715" t="s">
        <v>1646</v>
      </c>
      <c r="G85" s="1715" t="s">
        <v>1597</v>
      </c>
      <c r="H85" s="1715" t="s">
        <v>1646</v>
      </c>
      <c r="I85" s="1719">
        <v>3926728</v>
      </c>
    </row>
    <row r="86" spans="1:10" ht="19.5" customHeight="1" x14ac:dyDescent="0.25">
      <c r="A86" s="2041" t="s">
        <v>1646</v>
      </c>
      <c r="B86" s="1715" t="s">
        <v>1646</v>
      </c>
      <c r="C86" s="1716" t="s">
        <v>1646</v>
      </c>
      <c r="D86" s="1715" t="s">
        <v>1646</v>
      </c>
      <c r="E86" s="1715" t="s">
        <v>1646</v>
      </c>
      <c r="F86" s="1715" t="s">
        <v>1646</v>
      </c>
      <c r="G86" s="1715" t="s">
        <v>1597</v>
      </c>
      <c r="H86" s="1715" t="s">
        <v>1598</v>
      </c>
      <c r="I86" s="1719">
        <v>3926728</v>
      </c>
    </row>
    <row r="87" spans="1:10" ht="62.25" customHeight="1" x14ac:dyDescent="0.25">
      <c r="A87" s="2556"/>
      <c r="B87" s="2553"/>
      <c r="C87" s="1716" t="s">
        <v>1949</v>
      </c>
      <c r="D87" s="1715" t="s">
        <v>1592</v>
      </c>
      <c r="E87" s="1715" t="s">
        <v>1600</v>
      </c>
      <c r="F87" s="1715" t="s">
        <v>1603</v>
      </c>
      <c r="G87" s="1715" t="s">
        <v>1646</v>
      </c>
      <c r="H87" s="1715" t="s">
        <v>1646</v>
      </c>
      <c r="I87" s="1719">
        <v>81774620</v>
      </c>
      <c r="J87" s="1705" t="s">
        <v>2032</v>
      </c>
    </row>
    <row r="88" spans="1:10" ht="18.75" customHeight="1" x14ac:dyDescent="0.25">
      <c r="A88" s="2556"/>
      <c r="B88" s="2553"/>
      <c r="C88" s="3288" t="s">
        <v>2030</v>
      </c>
      <c r="D88" s="1715" t="s">
        <v>1646</v>
      </c>
      <c r="E88" s="1715" t="s">
        <v>1646</v>
      </c>
      <c r="F88" s="1715" t="s">
        <v>1646</v>
      </c>
      <c r="G88" s="1715" t="s">
        <v>1595</v>
      </c>
      <c r="H88" s="1715" t="s">
        <v>1646</v>
      </c>
      <c r="I88" s="1719">
        <v>74044842</v>
      </c>
    </row>
    <row r="89" spans="1:10" ht="18.75" customHeight="1" x14ac:dyDescent="0.25">
      <c r="A89" s="2041" t="s">
        <v>1646</v>
      </c>
      <c r="B89" s="1715" t="s">
        <v>1646</v>
      </c>
      <c r="C89" s="3288"/>
      <c r="D89" s="1715" t="s">
        <v>1646</v>
      </c>
      <c r="E89" s="1715" t="s">
        <v>1646</v>
      </c>
      <c r="F89" s="1715" t="s">
        <v>1646</v>
      </c>
      <c r="G89" s="1715" t="s">
        <v>1595</v>
      </c>
      <c r="H89" s="1715" t="s">
        <v>1596</v>
      </c>
      <c r="I89" s="1719">
        <v>74044842</v>
      </c>
    </row>
    <row r="90" spans="1:10" ht="18.75" customHeight="1" x14ac:dyDescent="0.25">
      <c r="A90" s="2041" t="s">
        <v>1646</v>
      </c>
      <c r="B90" s="1715" t="s">
        <v>1646</v>
      </c>
      <c r="C90" s="3288"/>
      <c r="D90" s="1715" t="s">
        <v>1646</v>
      </c>
      <c r="E90" s="1715" t="s">
        <v>1646</v>
      </c>
      <c r="F90" s="1715" t="s">
        <v>1646</v>
      </c>
      <c r="G90" s="1715" t="s">
        <v>1597</v>
      </c>
      <c r="H90" s="1715" t="s">
        <v>1646</v>
      </c>
      <c r="I90" s="1719">
        <v>7729778</v>
      </c>
    </row>
    <row r="91" spans="1:10" ht="18.75" customHeight="1" x14ac:dyDescent="0.25">
      <c r="A91" s="2041" t="s">
        <v>1646</v>
      </c>
      <c r="B91" s="1715" t="s">
        <v>1646</v>
      </c>
      <c r="C91" s="3288"/>
      <c r="D91" s="1715" t="s">
        <v>1646</v>
      </c>
      <c r="E91" s="1715" t="s">
        <v>1646</v>
      </c>
      <c r="F91" s="1715" t="s">
        <v>1646</v>
      </c>
      <c r="G91" s="1715" t="s">
        <v>1597</v>
      </c>
      <c r="H91" s="1715" t="s">
        <v>1598</v>
      </c>
      <c r="I91" s="1719">
        <v>7729778</v>
      </c>
    </row>
    <row r="92" spans="1:10" ht="31.5" x14ac:dyDescent="0.25">
      <c r="A92" s="2041" t="s">
        <v>1646</v>
      </c>
      <c r="B92" s="1715" t="s">
        <v>1646</v>
      </c>
      <c r="C92" s="1716" t="s">
        <v>1950</v>
      </c>
      <c r="D92" s="1715" t="s">
        <v>1592</v>
      </c>
      <c r="E92" s="1715" t="s">
        <v>1600</v>
      </c>
      <c r="F92" s="1715" t="s">
        <v>1603</v>
      </c>
      <c r="G92" s="1715" t="s">
        <v>1646</v>
      </c>
      <c r="H92" s="1715" t="s">
        <v>1646</v>
      </c>
      <c r="I92" s="1719">
        <v>45600959</v>
      </c>
      <c r="J92" s="1705" t="s">
        <v>2032</v>
      </c>
    </row>
    <row r="93" spans="1:10" ht="18.75" customHeight="1" x14ac:dyDescent="0.25">
      <c r="A93" s="2041" t="s">
        <v>1646</v>
      </c>
      <c r="B93" s="1715" t="s">
        <v>1646</v>
      </c>
      <c r="C93" s="3288" t="s">
        <v>2030</v>
      </c>
      <c r="D93" s="1715" t="s">
        <v>1646</v>
      </c>
      <c r="E93" s="1715" t="s">
        <v>1646</v>
      </c>
      <c r="F93" s="1715" t="s">
        <v>1646</v>
      </c>
      <c r="G93" s="1715" t="s">
        <v>1595</v>
      </c>
      <c r="H93" s="1715" t="s">
        <v>1646</v>
      </c>
      <c r="I93" s="1719">
        <v>41321286</v>
      </c>
    </row>
    <row r="94" spans="1:10" ht="18.75" customHeight="1" x14ac:dyDescent="0.25">
      <c r="A94" s="2041" t="s">
        <v>1646</v>
      </c>
      <c r="B94" s="1715" t="s">
        <v>1646</v>
      </c>
      <c r="C94" s="3288"/>
      <c r="D94" s="1715" t="s">
        <v>1646</v>
      </c>
      <c r="E94" s="1715" t="s">
        <v>1646</v>
      </c>
      <c r="F94" s="1715" t="s">
        <v>1646</v>
      </c>
      <c r="G94" s="1715" t="s">
        <v>1595</v>
      </c>
      <c r="H94" s="1715" t="s">
        <v>1596</v>
      </c>
      <c r="I94" s="1719">
        <v>41321286</v>
      </c>
    </row>
    <row r="95" spans="1:10" ht="18.75" customHeight="1" x14ac:dyDescent="0.25">
      <c r="A95" s="2041" t="s">
        <v>1646</v>
      </c>
      <c r="B95" s="1715" t="s">
        <v>1646</v>
      </c>
      <c r="C95" s="3288"/>
      <c r="D95" s="1715" t="s">
        <v>1646</v>
      </c>
      <c r="E95" s="1715" t="s">
        <v>1646</v>
      </c>
      <c r="F95" s="1715" t="s">
        <v>1646</v>
      </c>
      <c r="G95" s="1715" t="s">
        <v>1597</v>
      </c>
      <c r="H95" s="1715" t="s">
        <v>1646</v>
      </c>
      <c r="I95" s="1719">
        <v>4279673</v>
      </c>
    </row>
    <row r="96" spans="1:10" ht="18.75" customHeight="1" x14ac:dyDescent="0.25">
      <c r="A96" s="2041" t="s">
        <v>1646</v>
      </c>
      <c r="B96" s="2553"/>
      <c r="C96" s="3288"/>
      <c r="D96" s="1715" t="s">
        <v>1646</v>
      </c>
      <c r="E96" s="1715" t="s">
        <v>1646</v>
      </c>
      <c r="F96" s="1715" t="s">
        <v>1646</v>
      </c>
      <c r="G96" s="1715" t="s">
        <v>1597</v>
      </c>
      <c r="H96" s="1715" t="s">
        <v>1598</v>
      </c>
      <c r="I96" s="1719">
        <v>4279673</v>
      </c>
    </row>
    <row r="97" spans="1:10" ht="31.5" x14ac:dyDescent="0.25">
      <c r="A97" s="2041" t="s">
        <v>1646</v>
      </c>
      <c r="B97" s="1715" t="s">
        <v>1646</v>
      </c>
      <c r="C97" s="1716" t="s">
        <v>1951</v>
      </c>
      <c r="D97" s="1715" t="s">
        <v>1592</v>
      </c>
      <c r="E97" s="1715" t="s">
        <v>1600</v>
      </c>
      <c r="F97" s="1715" t="s">
        <v>1603</v>
      </c>
      <c r="G97" s="1715" t="s">
        <v>1646</v>
      </c>
      <c r="H97" s="1715" t="s">
        <v>1646</v>
      </c>
      <c r="I97" s="1719">
        <v>47007899</v>
      </c>
      <c r="J97" s="1705" t="s">
        <v>2032</v>
      </c>
    </row>
    <row r="98" spans="1:10" ht="19.5" customHeight="1" x14ac:dyDescent="0.25">
      <c r="A98" s="2041" t="s">
        <v>1646</v>
      </c>
      <c r="B98" s="1715" t="s">
        <v>1646</v>
      </c>
      <c r="C98" s="3288" t="s">
        <v>2030</v>
      </c>
      <c r="D98" s="1715" t="s">
        <v>1646</v>
      </c>
      <c r="E98" s="1715" t="s">
        <v>1646</v>
      </c>
      <c r="F98" s="1715" t="s">
        <v>1646</v>
      </c>
      <c r="G98" s="1715" t="s">
        <v>1595</v>
      </c>
      <c r="H98" s="1715" t="s">
        <v>1646</v>
      </c>
      <c r="I98" s="1719">
        <v>38908840</v>
      </c>
    </row>
    <row r="99" spans="1:10" ht="19.5" customHeight="1" x14ac:dyDescent="0.25">
      <c r="A99" s="2041" t="s">
        <v>1646</v>
      </c>
      <c r="B99" s="1715" t="s">
        <v>1646</v>
      </c>
      <c r="C99" s="3288"/>
      <c r="D99" s="1715" t="s">
        <v>1646</v>
      </c>
      <c r="E99" s="1715" t="s">
        <v>1646</v>
      </c>
      <c r="F99" s="1715" t="s">
        <v>1646</v>
      </c>
      <c r="G99" s="1715" t="s">
        <v>1595</v>
      </c>
      <c r="H99" s="1715" t="s">
        <v>1596</v>
      </c>
      <c r="I99" s="1719">
        <v>38908840</v>
      </c>
    </row>
    <row r="100" spans="1:10" ht="19.5" customHeight="1" x14ac:dyDescent="0.25">
      <c r="A100" s="2041" t="s">
        <v>1646</v>
      </c>
      <c r="B100" s="1715" t="s">
        <v>1646</v>
      </c>
      <c r="C100" s="3288"/>
      <c r="D100" s="1715" t="s">
        <v>1646</v>
      </c>
      <c r="E100" s="1715" t="s">
        <v>1646</v>
      </c>
      <c r="F100" s="1715" t="s">
        <v>1646</v>
      </c>
      <c r="G100" s="1715" t="s">
        <v>1597</v>
      </c>
      <c r="H100" s="1715" t="s">
        <v>1646</v>
      </c>
      <c r="I100" s="1719">
        <v>8099059</v>
      </c>
    </row>
    <row r="101" spans="1:10" ht="19.5" customHeight="1" x14ac:dyDescent="0.25">
      <c r="A101" s="2041" t="s">
        <v>1646</v>
      </c>
      <c r="B101" s="1715" t="s">
        <v>1646</v>
      </c>
      <c r="C101" s="3288"/>
      <c r="D101" s="1715" t="s">
        <v>1646</v>
      </c>
      <c r="E101" s="1715" t="s">
        <v>1646</v>
      </c>
      <c r="F101" s="1715" t="s">
        <v>1646</v>
      </c>
      <c r="G101" s="1715" t="s">
        <v>1597</v>
      </c>
      <c r="H101" s="1715" t="s">
        <v>1598</v>
      </c>
      <c r="I101" s="1719">
        <v>8099059</v>
      </c>
    </row>
    <row r="102" spans="1:10" ht="143.25" customHeight="1" x14ac:dyDescent="0.25">
      <c r="A102" s="2041" t="s">
        <v>1646</v>
      </c>
      <c r="B102" s="1715" t="s">
        <v>1676</v>
      </c>
      <c r="C102" s="1716" t="s">
        <v>1952</v>
      </c>
      <c r="D102" s="1715" t="s">
        <v>1646</v>
      </c>
      <c r="E102" s="1715" t="s">
        <v>1646</v>
      </c>
      <c r="F102" s="1715" t="s">
        <v>1646</v>
      </c>
      <c r="G102" s="1715" t="s">
        <v>1646</v>
      </c>
      <c r="H102" s="1715" t="s">
        <v>1646</v>
      </c>
      <c r="I102" s="1719">
        <v>171319400</v>
      </c>
    </row>
    <row r="103" spans="1:10" ht="19.5" customHeight="1" x14ac:dyDescent="0.25">
      <c r="A103" s="2041" t="s">
        <v>1646</v>
      </c>
      <c r="B103" s="1715" t="s">
        <v>1646</v>
      </c>
      <c r="C103" s="3288" t="s">
        <v>2030</v>
      </c>
      <c r="D103" s="1715" t="s">
        <v>1592</v>
      </c>
      <c r="E103" s="1715" t="s">
        <v>1600</v>
      </c>
      <c r="F103" s="1715" t="s">
        <v>1606</v>
      </c>
      <c r="G103" s="1715" t="s">
        <v>1646</v>
      </c>
      <c r="H103" s="1715" t="s">
        <v>1646</v>
      </c>
      <c r="I103" s="1719">
        <v>70519400</v>
      </c>
      <c r="J103" s="1705" t="s">
        <v>2033</v>
      </c>
    </row>
    <row r="104" spans="1:10" ht="19.5" customHeight="1" x14ac:dyDescent="0.25">
      <c r="A104" s="2041" t="s">
        <v>1646</v>
      </c>
      <c r="B104" s="1715" t="s">
        <v>1646</v>
      </c>
      <c r="C104" s="3288"/>
      <c r="D104" s="1715" t="s">
        <v>1646</v>
      </c>
      <c r="E104" s="1715" t="s">
        <v>1646</v>
      </c>
      <c r="F104" s="1715" t="s">
        <v>1646</v>
      </c>
      <c r="G104" s="1715" t="s">
        <v>1609</v>
      </c>
      <c r="H104" s="1715" t="s">
        <v>1646</v>
      </c>
      <c r="I104" s="1719">
        <v>20000000</v>
      </c>
    </row>
    <row r="105" spans="1:10" ht="19.5" customHeight="1" x14ac:dyDescent="0.25">
      <c r="A105" s="2041" t="s">
        <v>1646</v>
      </c>
      <c r="B105" s="1715" t="s">
        <v>1646</v>
      </c>
      <c r="C105" s="3288"/>
      <c r="D105" s="1715" t="s">
        <v>1646</v>
      </c>
      <c r="E105" s="1715" t="s">
        <v>1646</v>
      </c>
      <c r="F105" s="1715" t="s">
        <v>1646</v>
      </c>
      <c r="G105" s="1715" t="s">
        <v>1609</v>
      </c>
      <c r="H105" s="1715" t="s">
        <v>1610</v>
      </c>
      <c r="I105" s="1719">
        <v>1700000</v>
      </c>
    </row>
    <row r="106" spans="1:10" ht="19.5" customHeight="1" x14ac:dyDescent="0.25">
      <c r="A106" s="2041" t="s">
        <v>1646</v>
      </c>
      <c r="B106" s="1715" t="s">
        <v>1646</v>
      </c>
      <c r="C106" s="3288"/>
      <c r="D106" s="1715" t="s">
        <v>1646</v>
      </c>
      <c r="E106" s="1715" t="s">
        <v>1646</v>
      </c>
      <c r="F106" s="1715" t="s">
        <v>1646</v>
      </c>
      <c r="G106" s="1715" t="s">
        <v>1609</v>
      </c>
      <c r="H106" s="1715" t="s">
        <v>1611</v>
      </c>
      <c r="I106" s="1719">
        <v>3300000</v>
      </c>
    </row>
    <row r="107" spans="1:10" ht="19.5" customHeight="1" x14ac:dyDescent="0.25">
      <c r="A107" s="2041" t="s">
        <v>1646</v>
      </c>
      <c r="B107" s="1715" t="s">
        <v>1646</v>
      </c>
      <c r="C107" s="3288"/>
      <c r="D107" s="1715" t="s">
        <v>1646</v>
      </c>
      <c r="E107" s="1715" t="s">
        <v>1646</v>
      </c>
      <c r="F107" s="1715" t="s">
        <v>1646</v>
      </c>
      <c r="G107" s="1715" t="s">
        <v>1609</v>
      </c>
      <c r="H107" s="1715" t="s">
        <v>1612</v>
      </c>
      <c r="I107" s="1719">
        <v>15000000</v>
      </c>
    </row>
    <row r="108" spans="1:10" ht="19.5" customHeight="1" x14ac:dyDescent="0.25">
      <c r="A108" s="2041" t="s">
        <v>1646</v>
      </c>
      <c r="B108" s="1715" t="s">
        <v>1646</v>
      </c>
      <c r="C108" s="3288"/>
      <c r="D108" s="1715" t="s">
        <v>1646</v>
      </c>
      <c r="E108" s="1715" t="s">
        <v>1646</v>
      </c>
      <c r="F108" s="1715" t="s">
        <v>1646</v>
      </c>
      <c r="G108" s="1715" t="s">
        <v>1660</v>
      </c>
      <c r="H108" s="1715" t="s">
        <v>1646</v>
      </c>
      <c r="I108" s="1719">
        <v>3900000</v>
      </c>
    </row>
    <row r="109" spans="1:10" ht="19.5" customHeight="1" x14ac:dyDescent="0.25">
      <c r="A109" s="2041" t="s">
        <v>1646</v>
      </c>
      <c r="B109" s="1715" t="s">
        <v>1646</v>
      </c>
      <c r="C109" s="3288"/>
      <c r="D109" s="1715" t="s">
        <v>1646</v>
      </c>
      <c r="E109" s="1715" t="s">
        <v>1646</v>
      </c>
      <c r="F109" s="1715" t="s">
        <v>1646</v>
      </c>
      <c r="G109" s="1715" t="s">
        <v>1660</v>
      </c>
      <c r="H109" s="1715" t="s">
        <v>1661</v>
      </c>
      <c r="I109" s="1719">
        <v>1800000</v>
      </c>
    </row>
    <row r="110" spans="1:10" ht="19.5" customHeight="1" x14ac:dyDescent="0.25">
      <c r="A110" s="2041" t="s">
        <v>1646</v>
      </c>
      <c r="B110" s="1715" t="s">
        <v>1646</v>
      </c>
      <c r="C110" s="3288"/>
      <c r="D110" s="1715" t="s">
        <v>1646</v>
      </c>
      <c r="E110" s="1715" t="s">
        <v>1646</v>
      </c>
      <c r="F110" s="1715" t="s">
        <v>1646</v>
      </c>
      <c r="G110" s="1715" t="s">
        <v>1660</v>
      </c>
      <c r="H110" s="1715" t="s">
        <v>1662</v>
      </c>
      <c r="I110" s="1719">
        <v>2100000</v>
      </c>
    </row>
    <row r="111" spans="1:10" ht="19.5" customHeight="1" x14ac:dyDescent="0.25">
      <c r="A111" s="2041" t="s">
        <v>1646</v>
      </c>
      <c r="B111" s="1715" t="s">
        <v>1646</v>
      </c>
      <c r="C111" s="3288"/>
      <c r="D111" s="1715" t="s">
        <v>1646</v>
      </c>
      <c r="E111" s="1715" t="s">
        <v>1646</v>
      </c>
      <c r="F111" s="1715" t="s">
        <v>1646</v>
      </c>
      <c r="G111" s="1715" t="s">
        <v>1654</v>
      </c>
      <c r="H111" s="1715" t="s">
        <v>1646</v>
      </c>
      <c r="I111" s="1719">
        <v>9000000</v>
      </c>
    </row>
    <row r="112" spans="1:10" ht="19.5" customHeight="1" x14ac:dyDescent="0.25">
      <c r="A112" s="2041" t="s">
        <v>1646</v>
      </c>
      <c r="B112" s="2553"/>
      <c r="C112" s="3288"/>
      <c r="D112" s="1715" t="s">
        <v>1646</v>
      </c>
      <c r="E112" s="1715" t="s">
        <v>1646</v>
      </c>
      <c r="F112" s="1715" t="s">
        <v>1646</v>
      </c>
      <c r="G112" s="1715" t="s">
        <v>1654</v>
      </c>
      <c r="H112" s="1715" t="s">
        <v>1663</v>
      </c>
      <c r="I112" s="1719">
        <v>9000000</v>
      </c>
    </row>
    <row r="113" spans="1:10" ht="19.5" customHeight="1" x14ac:dyDescent="0.25">
      <c r="A113" s="2041" t="s">
        <v>1646</v>
      </c>
      <c r="B113" s="1715" t="s">
        <v>1646</v>
      </c>
      <c r="C113" s="3288"/>
      <c r="D113" s="1715" t="s">
        <v>1646</v>
      </c>
      <c r="E113" s="1715" t="s">
        <v>1646</v>
      </c>
      <c r="F113" s="1715" t="s">
        <v>1646</v>
      </c>
      <c r="G113" s="1715" t="s">
        <v>1618</v>
      </c>
      <c r="H113" s="1715" t="s">
        <v>1646</v>
      </c>
      <c r="I113" s="1719">
        <v>37619400</v>
      </c>
    </row>
    <row r="114" spans="1:10" ht="19.5" customHeight="1" x14ac:dyDescent="0.25">
      <c r="A114" s="2041" t="s">
        <v>1646</v>
      </c>
      <c r="B114" s="1715" t="s">
        <v>1646</v>
      </c>
      <c r="C114" s="3288"/>
      <c r="D114" s="1715" t="s">
        <v>1646</v>
      </c>
      <c r="E114" s="1715" t="s">
        <v>1646</v>
      </c>
      <c r="F114" s="1715" t="s">
        <v>1646</v>
      </c>
      <c r="G114" s="1715" t="s">
        <v>1618</v>
      </c>
      <c r="H114" s="1715" t="s">
        <v>1619</v>
      </c>
      <c r="I114" s="1719">
        <v>34889400</v>
      </c>
    </row>
    <row r="115" spans="1:10" ht="19.5" customHeight="1" x14ac:dyDescent="0.25">
      <c r="A115" s="2041" t="s">
        <v>1646</v>
      </c>
      <c r="B115" s="1715" t="s">
        <v>1646</v>
      </c>
      <c r="C115" s="3288"/>
      <c r="D115" s="1715" t="s">
        <v>1646</v>
      </c>
      <c r="E115" s="1715" t="s">
        <v>1646</v>
      </c>
      <c r="F115" s="1715" t="s">
        <v>1646</v>
      </c>
      <c r="G115" s="1715" t="s">
        <v>1618</v>
      </c>
      <c r="H115" s="1715" t="s">
        <v>1622</v>
      </c>
      <c r="I115" s="1719">
        <v>2730000</v>
      </c>
    </row>
    <row r="116" spans="1:10" ht="19.5" customHeight="1" x14ac:dyDescent="0.25">
      <c r="A116" s="2041" t="s">
        <v>1646</v>
      </c>
      <c r="B116" s="1715" t="s">
        <v>1646</v>
      </c>
      <c r="C116" s="3288"/>
      <c r="D116" s="1715" t="s">
        <v>1592</v>
      </c>
      <c r="E116" s="1715" t="s">
        <v>1600</v>
      </c>
      <c r="F116" s="1715" t="s">
        <v>1606</v>
      </c>
      <c r="G116" s="1715" t="s">
        <v>1646</v>
      </c>
      <c r="H116" s="1715" t="s">
        <v>1646</v>
      </c>
      <c r="I116" s="1719">
        <v>100800000</v>
      </c>
      <c r="J116" s="1705" t="s">
        <v>2032</v>
      </c>
    </row>
    <row r="117" spans="1:10" ht="19.5" customHeight="1" x14ac:dyDescent="0.25">
      <c r="A117" s="2041" t="s">
        <v>1646</v>
      </c>
      <c r="B117" s="1715" t="s">
        <v>1646</v>
      </c>
      <c r="C117" s="3288"/>
      <c r="D117" s="1715" t="s">
        <v>1646</v>
      </c>
      <c r="E117" s="1715" t="s">
        <v>1646</v>
      </c>
      <c r="F117" s="1715" t="s">
        <v>1646</v>
      </c>
      <c r="G117" s="1715" t="s">
        <v>1618</v>
      </c>
      <c r="H117" s="1715" t="s">
        <v>1646</v>
      </c>
      <c r="I117" s="1719">
        <v>100800000</v>
      </c>
    </row>
    <row r="118" spans="1:10" ht="19.5" customHeight="1" x14ac:dyDescent="0.25">
      <c r="A118" s="2041" t="s">
        <v>1646</v>
      </c>
      <c r="B118" s="1715" t="s">
        <v>1646</v>
      </c>
      <c r="C118" s="3288"/>
      <c r="D118" s="1715" t="s">
        <v>1646</v>
      </c>
      <c r="E118" s="1715" t="s">
        <v>1646</v>
      </c>
      <c r="F118" s="1715" t="s">
        <v>1646</v>
      </c>
      <c r="G118" s="1715" t="s">
        <v>1618</v>
      </c>
      <c r="H118" s="1715" t="s">
        <v>1622</v>
      </c>
      <c r="I118" s="1719">
        <v>100800000</v>
      </c>
    </row>
    <row r="119" spans="1:10" ht="162" customHeight="1" x14ac:dyDescent="0.25">
      <c r="A119" s="2041" t="s">
        <v>1646</v>
      </c>
      <c r="B119" s="1715" t="s">
        <v>1678</v>
      </c>
      <c r="C119" s="1716" t="s">
        <v>1953</v>
      </c>
      <c r="D119" s="1715" t="s">
        <v>1646</v>
      </c>
      <c r="E119" s="1715" t="s">
        <v>1646</v>
      </c>
      <c r="F119" s="1715" t="s">
        <v>1646</v>
      </c>
      <c r="G119" s="1715" t="s">
        <v>1646</v>
      </c>
      <c r="H119" s="1715" t="s">
        <v>1646</v>
      </c>
      <c r="I119" s="1719">
        <v>13850000</v>
      </c>
    </row>
    <row r="120" spans="1:10" ht="19.5" customHeight="1" x14ac:dyDescent="0.25">
      <c r="A120" s="2041" t="s">
        <v>1646</v>
      </c>
      <c r="B120" s="2553"/>
      <c r="C120" s="3288" t="s">
        <v>2030</v>
      </c>
      <c r="D120" s="1715" t="s">
        <v>1592</v>
      </c>
      <c r="E120" s="1715" t="s">
        <v>1642</v>
      </c>
      <c r="F120" s="1715" t="s">
        <v>1650</v>
      </c>
      <c r="G120" s="1715" t="s">
        <v>1646</v>
      </c>
      <c r="H120" s="1715" t="s">
        <v>1646</v>
      </c>
      <c r="I120" s="1719">
        <v>13850000</v>
      </c>
      <c r="J120" s="1705" t="s">
        <v>2033</v>
      </c>
    </row>
    <row r="121" spans="1:10" ht="19.5" customHeight="1" x14ac:dyDescent="0.25">
      <c r="A121" s="2041" t="s">
        <v>1646</v>
      </c>
      <c r="B121" s="1715" t="s">
        <v>1646</v>
      </c>
      <c r="C121" s="3288"/>
      <c r="D121" s="1715" t="s">
        <v>1646</v>
      </c>
      <c r="E121" s="1715" t="s">
        <v>1646</v>
      </c>
      <c r="F121" s="1715" t="s">
        <v>1646</v>
      </c>
      <c r="G121" s="1715" t="s">
        <v>1623</v>
      </c>
      <c r="H121" s="1715" t="s">
        <v>1646</v>
      </c>
      <c r="I121" s="1719">
        <v>8350000</v>
      </c>
    </row>
    <row r="122" spans="1:10" ht="19.5" customHeight="1" x14ac:dyDescent="0.25">
      <c r="A122" s="2041" t="s">
        <v>1646</v>
      </c>
      <c r="B122" s="1715" t="s">
        <v>1646</v>
      </c>
      <c r="C122" s="3288"/>
      <c r="D122" s="1715" t="s">
        <v>1646</v>
      </c>
      <c r="E122" s="1715" t="s">
        <v>1646</v>
      </c>
      <c r="F122" s="1715" t="s">
        <v>1646</v>
      </c>
      <c r="G122" s="1715" t="s">
        <v>1623</v>
      </c>
      <c r="H122" s="1715" t="s">
        <v>1624</v>
      </c>
      <c r="I122" s="1719">
        <v>8350000</v>
      </c>
    </row>
    <row r="123" spans="1:10" ht="19.5" customHeight="1" x14ac:dyDescent="0.25">
      <c r="A123" s="2041" t="s">
        <v>1646</v>
      </c>
      <c r="B123" s="1715" t="s">
        <v>1646</v>
      </c>
      <c r="C123" s="3288"/>
      <c r="D123" s="1715" t="s">
        <v>1646</v>
      </c>
      <c r="E123" s="1715" t="s">
        <v>1646</v>
      </c>
      <c r="F123" s="1715" t="s">
        <v>1646</v>
      </c>
      <c r="G123" s="1715" t="s">
        <v>1602</v>
      </c>
      <c r="H123" s="1715" t="s">
        <v>1646</v>
      </c>
      <c r="I123" s="1719">
        <v>5500000</v>
      </c>
    </row>
    <row r="124" spans="1:10" ht="19.5" customHeight="1" x14ac:dyDescent="0.25">
      <c r="A124" s="2041" t="s">
        <v>1646</v>
      </c>
      <c r="B124" s="1715" t="s">
        <v>1646</v>
      </c>
      <c r="C124" s="3288"/>
      <c r="D124" s="1715" t="s">
        <v>1646</v>
      </c>
      <c r="E124" s="1715" t="s">
        <v>1646</v>
      </c>
      <c r="F124" s="1715" t="s">
        <v>1646</v>
      </c>
      <c r="G124" s="1715" t="s">
        <v>1602</v>
      </c>
      <c r="H124" s="1715" t="s">
        <v>1680</v>
      </c>
      <c r="I124" s="1719">
        <v>5500000</v>
      </c>
    </row>
    <row r="125" spans="1:10" ht="19.5" customHeight="1" x14ac:dyDescent="0.25">
      <c r="A125" s="2041" t="s">
        <v>1646</v>
      </c>
      <c r="B125" s="1715" t="s">
        <v>1646</v>
      </c>
      <c r="C125" s="3288"/>
      <c r="D125" s="1715" t="s">
        <v>1592</v>
      </c>
      <c r="E125" s="1715" t="s">
        <v>1642</v>
      </c>
      <c r="F125" s="1715" t="s">
        <v>1650</v>
      </c>
      <c r="G125" s="1715" t="s">
        <v>1646</v>
      </c>
      <c r="H125" s="1715" t="s">
        <v>1646</v>
      </c>
      <c r="I125" s="1719">
        <v>0</v>
      </c>
    </row>
    <row r="126" spans="1:10" ht="84" customHeight="1" x14ac:dyDescent="0.25">
      <c r="A126" s="2041" t="s">
        <v>1646</v>
      </c>
      <c r="B126" s="1715" t="s">
        <v>1681</v>
      </c>
      <c r="C126" s="1716" t="s">
        <v>1954</v>
      </c>
      <c r="D126" s="1715" t="s">
        <v>1646</v>
      </c>
      <c r="E126" s="1715" t="s">
        <v>1646</v>
      </c>
      <c r="F126" s="1715" t="s">
        <v>1646</v>
      </c>
      <c r="G126" s="1715" t="s">
        <v>1646</v>
      </c>
      <c r="H126" s="1715" t="s">
        <v>1646</v>
      </c>
      <c r="I126" s="1719">
        <v>4067160</v>
      </c>
    </row>
    <row r="127" spans="1:10" ht="19.5" customHeight="1" x14ac:dyDescent="0.25">
      <c r="A127" s="2041" t="s">
        <v>1646</v>
      </c>
      <c r="B127" s="1715" t="s">
        <v>1646</v>
      </c>
      <c r="C127" s="3288" t="s">
        <v>2031</v>
      </c>
      <c r="D127" s="1715" t="s">
        <v>1592</v>
      </c>
      <c r="E127" s="1715" t="s">
        <v>1600</v>
      </c>
      <c r="F127" s="1715" t="s">
        <v>1603</v>
      </c>
      <c r="G127" s="1715" t="s">
        <v>1646</v>
      </c>
      <c r="H127" s="1715" t="s">
        <v>1646</v>
      </c>
      <c r="I127" s="1719">
        <v>4067160</v>
      </c>
      <c r="J127" s="1705" t="s">
        <v>2032</v>
      </c>
    </row>
    <row r="128" spans="1:10" ht="18" customHeight="1" x14ac:dyDescent="0.25">
      <c r="A128" s="2041" t="s">
        <v>1646</v>
      </c>
      <c r="B128" s="2553"/>
      <c r="C128" s="3288"/>
      <c r="D128" s="1715" t="s">
        <v>1646</v>
      </c>
      <c r="E128" s="1715" t="s">
        <v>1646</v>
      </c>
      <c r="F128" s="1715" t="s">
        <v>1646</v>
      </c>
      <c r="G128" s="1715" t="s">
        <v>1595</v>
      </c>
      <c r="H128" s="1715" t="s">
        <v>1646</v>
      </c>
      <c r="I128" s="1719">
        <v>1375033</v>
      </c>
    </row>
    <row r="129" spans="1:10" ht="18" customHeight="1" x14ac:dyDescent="0.25">
      <c r="A129" s="2041" t="s">
        <v>1646</v>
      </c>
      <c r="B129" s="1715" t="s">
        <v>1646</v>
      </c>
      <c r="C129" s="3288"/>
      <c r="D129" s="1715" t="s">
        <v>1646</v>
      </c>
      <c r="E129" s="1715" t="s">
        <v>1646</v>
      </c>
      <c r="F129" s="1715" t="s">
        <v>1646</v>
      </c>
      <c r="G129" s="1715" t="s">
        <v>1595</v>
      </c>
      <c r="H129" s="1715" t="s">
        <v>1596</v>
      </c>
      <c r="I129" s="1719">
        <v>1375033</v>
      </c>
    </row>
    <row r="130" spans="1:10" ht="18" customHeight="1" x14ac:dyDescent="0.25">
      <c r="A130" s="2041" t="s">
        <v>1646</v>
      </c>
      <c r="B130" s="1715" t="s">
        <v>1646</v>
      </c>
      <c r="C130" s="3288"/>
      <c r="D130" s="1715" t="s">
        <v>1646</v>
      </c>
      <c r="E130" s="1715" t="s">
        <v>1646</v>
      </c>
      <c r="F130" s="1715" t="s">
        <v>1646</v>
      </c>
      <c r="G130" s="1715" t="s">
        <v>1597</v>
      </c>
      <c r="H130" s="1715" t="s">
        <v>1646</v>
      </c>
      <c r="I130" s="1719">
        <v>2692127</v>
      </c>
    </row>
    <row r="131" spans="1:10" ht="18" customHeight="1" x14ac:dyDescent="0.25">
      <c r="A131" s="2041" t="s">
        <v>1646</v>
      </c>
      <c r="B131" s="1715" t="s">
        <v>1646</v>
      </c>
      <c r="C131" s="3288"/>
      <c r="D131" s="1715" t="s">
        <v>1646</v>
      </c>
      <c r="E131" s="1715" t="s">
        <v>1646</v>
      </c>
      <c r="F131" s="1715" t="s">
        <v>1646</v>
      </c>
      <c r="G131" s="1715" t="s">
        <v>1597</v>
      </c>
      <c r="H131" s="1715" t="s">
        <v>1598</v>
      </c>
      <c r="I131" s="1719">
        <v>2692127</v>
      </c>
    </row>
    <row r="132" spans="1:10" ht="115.5" customHeight="1" x14ac:dyDescent="0.25">
      <c r="A132" s="2041" t="s">
        <v>1646</v>
      </c>
      <c r="B132" s="1715" t="s">
        <v>1683</v>
      </c>
      <c r="C132" s="1716" t="s">
        <v>1955</v>
      </c>
      <c r="D132" s="1715" t="s">
        <v>1646</v>
      </c>
      <c r="E132" s="1715" t="s">
        <v>1646</v>
      </c>
      <c r="F132" s="1715" t="s">
        <v>1646</v>
      </c>
      <c r="G132" s="1715" t="s">
        <v>1646</v>
      </c>
      <c r="H132" s="1715" t="s">
        <v>1646</v>
      </c>
      <c r="I132" s="1719">
        <v>0</v>
      </c>
    </row>
    <row r="133" spans="1:10" ht="21.75" customHeight="1" x14ac:dyDescent="0.25">
      <c r="A133" s="2041" t="s">
        <v>1646</v>
      </c>
      <c r="B133" s="1715" t="s">
        <v>1646</v>
      </c>
      <c r="C133" s="2554" t="s">
        <v>2031</v>
      </c>
      <c r="D133" s="1715" t="s">
        <v>1592</v>
      </c>
      <c r="E133" s="1715" t="s">
        <v>1600</v>
      </c>
      <c r="F133" s="1715" t="s">
        <v>1606</v>
      </c>
      <c r="G133" s="1715" t="s">
        <v>1646</v>
      </c>
      <c r="H133" s="1715" t="s">
        <v>1646</v>
      </c>
      <c r="I133" s="1719">
        <v>0</v>
      </c>
    </row>
    <row r="134" spans="1:10" ht="117" customHeight="1" x14ac:dyDescent="0.25">
      <c r="A134" s="2041" t="s">
        <v>1646</v>
      </c>
      <c r="B134" s="1715" t="s">
        <v>1685</v>
      </c>
      <c r="C134" s="1716" t="s">
        <v>1956</v>
      </c>
      <c r="D134" s="1715" t="s">
        <v>1646</v>
      </c>
      <c r="E134" s="1715" t="s">
        <v>1646</v>
      </c>
      <c r="F134" s="1715" t="s">
        <v>1646</v>
      </c>
      <c r="G134" s="1715" t="s">
        <v>1646</v>
      </c>
      <c r="H134" s="1715" t="s">
        <v>1646</v>
      </c>
      <c r="I134" s="1719">
        <v>0</v>
      </c>
    </row>
    <row r="135" spans="1:10" ht="21" customHeight="1" x14ac:dyDescent="0.25">
      <c r="A135" s="2041" t="s">
        <v>1646</v>
      </c>
      <c r="B135" s="1715" t="s">
        <v>1646</v>
      </c>
      <c r="C135" s="2554" t="s">
        <v>2031</v>
      </c>
      <c r="D135" s="1715" t="s">
        <v>1592</v>
      </c>
      <c r="E135" s="1715" t="s">
        <v>1642</v>
      </c>
      <c r="F135" s="1715" t="s">
        <v>1650</v>
      </c>
      <c r="G135" s="1715" t="s">
        <v>1646</v>
      </c>
      <c r="H135" s="1715" t="s">
        <v>1646</v>
      </c>
      <c r="I135" s="1719">
        <v>0</v>
      </c>
    </row>
    <row r="136" spans="1:10" ht="101.25" customHeight="1" x14ac:dyDescent="0.25">
      <c r="A136" s="2040" t="s">
        <v>1451</v>
      </c>
      <c r="B136" s="1718" t="s">
        <v>1687</v>
      </c>
      <c r="C136" s="1708" t="s">
        <v>1957</v>
      </c>
      <c r="D136" s="1715" t="s">
        <v>1646</v>
      </c>
      <c r="E136" s="1715" t="s">
        <v>1646</v>
      </c>
      <c r="F136" s="1715" t="s">
        <v>1646</v>
      </c>
      <c r="G136" s="1715" t="s">
        <v>1646</v>
      </c>
      <c r="H136" s="1715" t="s">
        <v>1646</v>
      </c>
      <c r="I136" s="1717">
        <v>265610000</v>
      </c>
    </row>
    <row r="137" spans="1:10" ht="54.75" customHeight="1" x14ac:dyDescent="0.25">
      <c r="A137" s="2041" t="s">
        <v>1646</v>
      </c>
      <c r="B137" s="1715" t="s">
        <v>1689</v>
      </c>
      <c r="C137" s="1716" t="s">
        <v>1958</v>
      </c>
      <c r="D137" s="1715" t="s">
        <v>1646</v>
      </c>
      <c r="E137" s="1715" t="s">
        <v>1646</v>
      </c>
      <c r="F137" s="1715" t="s">
        <v>1646</v>
      </c>
      <c r="G137" s="1715" t="s">
        <v>1646</v>
      </c>
      <c r="H137" s="1715" t="s">
        <v>1646</v>
      </c>
      <c r="I137" s="1719">
        <v>13879500</v>
      </c>
    </row>
    <row r="138" spans="1:10" ht="19.5" customHeight="1" x14ac:dyDescent="0.25">
      <c r="A138" s="2041" t="s">
        <v>1646</v>
      </c>
      <c r="B138" s="1715" t="s">
        <v>1646</v>
      </c>
      <c r="C138" s="3288" t="s">
        <v>2030</v>
      </c>
      <c r="D138" s="1715" t="s">
        <v>1592</v>
      </c>
      <c r="E138" s="1715" t="s">
        <v>1593</v>
      </c>
      <c r="F138" s="1715" t="s">
        <v>1691</v>
      </c>
      <c r="G138" s="1715" t="s">
        <v>1646</v>
      </c>
      <c r="H138" s="1715" t="s">
        <v>1646</v>
      </c>
      <c r="I138" s="1719">
        <v>13879500</v>
      </c>
      <c r="J138" s="1705" t="s">
        <v>2034</v>
      </c>
    </row>
    <row r="139" spans="1:10" ht="19.5" customHeight="1" x14ac:dyDescent="0.25">
      <c r="A139" s="2041" t="s">
        <v>1646</v>
      </c>
      <c r="B139" s="1715" t="s">
        <v>1646</v>
      </c>
      <c r="C139" s="3288"/>
      <c r="D139" s="1715" t="s">
        <v>1646</v>
      </c>
      <c r="E139" s="1715" t="s">
        <v>1646</v>
      </c>
      <c r="F139" s="1715" t="s">
        <v>1646</v>
      </c>
      <c r="G139" s="1715" t="s">
        <v>1692</v>
      </c>
      <c r="H139" s="1715" t="s">
        <v>1646</v>
      </c>
      <c r="I139" s="1719">
        <v>13879500</v>
      </c>
    </row>
    <row r="140" spans="1:10" ht="19.5" customHeight="1" x14ac:dyDescent="0.25">
      <c r="A140" s="2041" t="s">
        <v>1646</v>
      </c>
      <c r="B140" s="1715" t="s">
        <v>1646</v>
      </c>
      <c r="C140" s="3288"/>
      <c r="D140" s="1715" t="s">
        <v>1646</v>
      </c>
      <c r="E140" s="1715" t="s">
        <v>1646</v>
      </c>
      <c r="F140" s="1715" t="s">
        <v>1646</v>
      </c>
      <c r="G140" s="1715" t="s">
        <v>1692</v>
      </c>
      <c r="H140" s="1715" t="s">
        <v>1693</v>
      </c>
      <c r="I140" s="1719">
        <v>13879500</v>
      </c>
    </row>
    <row r="141" spans="1:10" ht="63" x14ac:dyDescent="0.25">
      <c r="A141" s="2041" t="s">
        <v>1646</v>
      </c>
      <c r="B141" s="1715" t="s">
        <v>1694</v>
      </c>
      <c r="C141" s="1716" t="s">
        <v>1959</v>
      </c>
      <c r="D141" s="1715" t="s">
        <v>1646</v>
      </c>
      <c r="E141" s="1715" t="s">
        <v>1646</v>
      </c>
      <c r="F141" s="1715" t="s">
        <v>1646</v>
      </c>
      <c r="G141" s="1715" t="s">
        <v>1646</v>
      </c>
      <c r="H141" s="1715" t="s">
        <v>1646</v>
      </c>
      <c r="I141" s="1719">
        <v>49000000</v>
      </c>
    </row>
    <row r="142" spans="1:10" ht="19.5" customHeight="1" x14ac:dyDescent="0.25">
      <c r="A142" s="2041" t="s">
        <v>1646</v>
      </c>
      <c r="B142" s="1715" t="s">
        <v>1646</v>
      </c>
      <c r="C142" s="3288" t="s">
        <v>2030</v>
      </c>
      <c r="D142" s="1715" t="s">
        <v>1592</v>
      </c>
      <c r="E142" s="1715" t="s">
        <v>1620</v>
      </c>
      <c r="F142" s="1715" t="s">
        <v>1629</v>
      </c>
      <c r="G142" s="1715" t="s">
        <v>1646</v>
      </c>
      <c r="H142" s="1715" t="s">
        <v>1646</v>
      </c>
      <c r="I142" s="1719">
        <v>49000000</v>
      </c>
      <c r="J142" s="1705" t="s">
        <v>2033</v>
      </c>
    </row>
    <row r="143" spans="1:10" ht="19.5" customHeight="1" x14ac:dyDescent="0.25">
      <c r="A143" s="2041" t="s">
        <v>1646</v>
      </c>
      <c r="B143" s="2553"/>
      <c r="C143" s="3288"/>
      <c r="D143" s="1715" t="s">
        <v>1646</v>
      </c>
      <c r="E143" s="1715" t="s">
        <v>1646</v>
      </c>
      <c r="F143" s="1715" t="s">
        <v>1646</v>
      </c>
      <c r="G143" s="1715" t="s">
        <v>1615</v>
      </c>
      <c r="H143" s="1715" t="s">
        <v>1646</v>
      </c>
      <c r="I143" s="1719">
        <v>49000000</v>
      </c>
    </row>
    <row r="144" spans="1:10" ht="19.5" customHeight="1" x14ac:dyDescent="0.25">
      <c r="A144" s="2041" t="s">
        <v>1646</v>
      </c>
      <c r="B144" s="1715" t="s">
        <v>1646</v>
      </c>
      <c r="C144" s="3288"/>
      <c r="D144" s="1715" t="s">
        <v>1646</v>
      </c>
      <c r="E144" s="1715" t="s">
        <v>1646</v>
      </c>
      <c r="F144" s="1715" t="s">
        <v>1646</v>
      </c>
      <c r="G144" s="1715" t="s">
        <v>1615</v>
      </c>
      <c r="H144" s="1715" t="s">
        <v>1616</v>
      </c>
      <c r="I144" s="1719">
        <v>49000000</v>
      </c>
    </row>
    <row r="145" spans="1:10" ht="100.5" customHeight="1" x14ac:dyDescent="0.25">
      <c r="A145" s="2041" t="s">
        <v>1646</v>
      </c>
      <c r="B145" s="1715" t="s">
        <v>1696</v>
      </c>
      <c r="C145" s="1716" t="s">
        <v>1960</v>
      </c>
      <c r="D145" s="1715" t="s">
        <v>1646</v>
      </c>
      <c r="E145" s="1715" t="s">
        <v>1646</v>
      </c>
      <c r="F145" s="1715" t="s">
        <v>1646</v>
      </c>
      <c r="G145" s="1715" t="s">
        <v>1646</v>
      </c>
      <c r="H145" s="1715" t="s">
        <v>1646</v>
      </c>
      <c r="I145" s="1719">
        <v>190000000</v>
      </c>
    </row>
    <row r="146" spans="1:10" ht="19.5" customHeight="1" x14ac:dyDescent="0.25">
      <c r="A146" s="2041" t="s">
        <v>1646</v>
      </c>
      <c r="B146" s="1715" t="s">
        <v>1646</v>
      </c>
      <c r="C146" s="3288" t="s">
        <v>2030</v>
      </c>
      <c r="D146" s="1715" t="s">
        <v>1592</v>
      </c>
      <c r="E146" s="1715" t="s">
        <v>1642</v>
      </c>
      <c r="F146" s="1715" t="s">
        <v>1650</v>
      </c>
      <c r="G146" s="1715" t="s">
        <v>1646</v>
      </c>
      <c r="H146" s="1715" t="s">
        <v>1646</v>
      </c>
      <c r="I146" s="1719">
        <v>190000000</v>
      </c>
      <c r="J146" s="1705" t="s">
        <v>2034</v>
      </c>
    </row>
    <row r="147" spans="1:10" ht="19.5" customHeight="1" x14ac:dyDescent="0.25">
      <c r="A147" s="2041" t="s">
        <v>1646</v>
      </c>
      <c r="B147" s="1715" t="s">
        <v>1646</v>
      </c>
      <c r="C147" s="3288"/>
      <c r="D147" s="1715" t="s">
        <v>1646</v>
      </c>
      <c r="E147" s="1715" t="s">
        <v>1646</v>
      </c>
      <c r="F147" s="1715" t="s">
        <v>1646</v>
      </c>
      <c r="G147" s="1715" t="s">
        <v>1660</v>
      </c>
      <c r="H147" s="1715" t="s">
        <v>1646</v>
      </c>
      <c r="I147" s="1719">
        <v>152000000</v>
      </c>
    </row>
    <row r="148" spans="1:10" ht="19.5" customHeight="1" x14ac:dyDescent="0.25">
      <c r="A148" s="2041" t="s">
        <v>1646</v>
      </c>
      <c r="B148" s="1715" t="s">
        <v>1646</v>
      </c>
      <c r="C148" s="3288"/>
      <c r="D148" s="1715" t="s">
        <v>1646</v>
      </c>
      <c r="E148" s="1715" t="s">
        <v>1646</v>
      </c>
      <c r="F148" s="1715" t="s">
        <v>1646</v>
      </c>
      <c r="G148" s="1715" t="s">
        <v>1660</v>
      </c>
      <c r="H148" s="1715" t="s">
        <v>1661</v>
      </c>
      <c r="I148" s="1719">
        <v>11200000</v>
      </c>
    </row>
    <row r="149" spans="1:10" ht="19.5" customHeight="1" x14ac:dyDescent="0.25">
      <c r="A149" s="2041" t="s">
        <v>1646</v>
      </c>
      <c r="B149" s="2553"/>
      <c r="C149" s="3288"/>
      <c r="D149" s="1715" t="s">
        <v>1646</v>
      </c>
      <c r="E149" s="1715" t="s">
        <v>1646</v>
      </c>
      <c r="F149" s="1715" t="s">
        <v>1646</v>
      </c>
      <c r="G149" s="1715" t="s">
        <v>1660</v>
      </c>
      <c r="H149" s="1715" t="s">
        <v>1662</v>
      </c>
      <c r="I149" s="1719">
        <v>72000000</v>
      </c>
    </row>
    <row r="150" spans="1:10" ht="19.5" customHeight="1" x14ac:dyDescent="0.25">
      <c r="A150" s="2041" t="s">
        <v>1646</v>
      </c>
      <c r="B150" s="1715" t="s">
        <v>1646</v>
      </c>
      <c r="C150" s="3288"/>
      <c r="D150" s="1715" t="s">
        <v>1646</v>
      </c>
      <c r="E150" s="1715" t="s">
        <v>1646</v>
      </c>
      <c r="F150" s="1715" t="s">
        <v>1646</v>
      </c>
      <c r="G150" s="1715" t="s">
        <v>1660</v>
      </c>
      <c r="H150" s="1715" t="s">
        <v>1843</v>
      </c>
      <c r="I150" s="1719">
        <v>68800000</v>
      </c>
    </row>
    <row r="151" spans="1:10" ht="19.5" customHeight="1" x14ac:dyDescent="0.25">
      <c r="A151" s="2041" t="s">
        <v>1646</v>
      </c>
      <c r="B151" s="1715" t="s">
        <v>1646</v>
      </c>
      <c r="C151" s="3288"/>
      <c r="D151" s="1715" t="s">
        <v>1646</v>
      </c>
      <c r="E151" s="1715" t="s">
        <v>1646</v>
      </c>
      <c r="F151" s="1715" t="s">
        <v>1646</v>
      </c>
      <c r="G151" s="1715" t="s">
        <v>1654</v>
      </c>
      <c r="H151" s="1715" t="s">
        <v>1646</v>
      </c>
      <c r="I151" s="1719">
        <v>38000000</v>
      </c>
    </row>
    <row r="152" spans="1:10" ht="19.5" customHeight="1" x14ac:dyDescent="0.25">
      <c r="A152" s="2041" t="s">
        <v>1646</v>
      </c>
      <c r="B152" s="1715" t="s">
        <v>1646</v>
      </c>
      <c r="C152" s="3288"/>
      <c r="D152" s="1715" t="s">
        <v>1646</v>
      </c>
      <c r="E152" s="1715" t="s">
        <v>1646</v>
      </c>
      <c r="F152" s="1715" t="s">
        <v>1646</v>
      </c>
      <c r="G152" s="1715" t="s">
        <v>1654</v>
      </c>
      <c r="H152" s="1715" t="s">
        <v>1663</v>
      </c>
      <c r="I152" s="1719">
        <v>38000000</v>
      </c>
    </row>
    <row r="153" spans="1:10" ht="63" x14ac:dyDescent="0.25">
      <c r="A153" s="2041" t="s">
        <v>1646</v>
      </c>
      <c r="B153" s="1715" t="s">
        <v>1698</v>
      </c>
      <c r="C153" s="1716" t="s">
        <v>1961</v>
      </c>
      <c r="D153" s="1715" t="s">
        <v>1646</v>
      </c>
      <c r="E153" s="1715" t="s">
        <v>1646</v>
      </c>
      <c r="F153" s="1715" t="s">
        <v>1646</v>
      </c>
      <c r="G153" s="1715" t="s">
        <v>1646</v>
      </c>
      <c r="H153" s="1715" t="s">
        <v>1646</v>
      </c>
      <c r="I153" s="1719">
        <v>730500</v>
      </c>
    </row>
    <row r="154" spans="1:10" ht="20.25" customHeight="1" x14ac:dyDescent="0.25">
      <c r="A154" s="2041" t="s">
        <v>1646</v>
      </c>
      <c r="B154" s="1715" t="s">
        <v>1646</v>
      </c>
      <c r="C154" s="3288" t="s">
        <v>2031</v>
      </c>
      <c r="D154" s="1715" t="s">
        <v>1592</v>
      </c>
      <c r="E154" s="1715" t="s">
        <v>1593</v>
      </c>
      <c r="F154" s="1715" t="s">
        <v>1691</v>
      </c>
      <c r="G154" s="1715" t="s">
        <v>1646</v>
      </c>
      <c r="H154" s="1715" t="s">
        <v>1646</v>
      </c>
      <c r="I154" s="1719">
        <v>730500</v>
      </c>
      <c r="J154" s="1705" t="s">
        <v>2034</v>
      </c>
    </row>
    <row r="155" spans="1:10" ht="20.25" customHeight="1" x14ac:dyDescent="0.25">
      <c r="A155" s="2041" t="s">
        <v>1646</v>
      </c>
      <c r="B155" s="1715" t="s">
        <v>1646</v>
      </c>
      <c r="C155" s="3288"/>
      <c r="D155" s="1715" t="s">
        <v>1646</v>
      </c>
      <c r="E155" s="1715" t="s">
        <v>1646</v>
      </c>
      <c r="F155" s="1715" t="s">
        <v>1646</v>
      </c>
      <c r="G155" s="1715" t="s">
        <v>1692</v>
      </c>
      <c r="H155" s="1715" t="s">
        <v>1646</v>
      </c>
      <c r="I155" s="1719">
        <v>730500</v>
      </c>
    </row>
    <row r="156" spans="1:10" ht="20.25" customHeight="1" x14ac:dyDescent="0.25">
      <c r="A156" s="2041" t="s">
        <v>1646</v>
      </c>
      <c r="B156" s="1715" t="s">
        <v>1646</v>
      </c>
      <c r="C156" s="3288"/>
      <c r="D156" s="1715" t="s">
        <v>1646</v>
      </c>
      <c r="E156" s="1715" t="s">
        <v>1646</v>
      </c>
      <c r="F156" s="1715" t="s">
        <v>1646</v>
      </c>
      <c r="G156" s="1715" t="s">
        <v>1692</v>
      </c>
      <c r="H156" s="1715" t="s">
        <v>1693</v>
      </c>
      <c r="I156" s="1719">
        <v>730500</v>
      </c>
    </row>
    <row r="157" spans="1:10" ht="78.75" x14ac:dyDescent="0.25">
      <c r="A157" s="2041" t="s">
        <v>1646</v>
      </c>
      <c r="B157" s="1715" t="s">
        <v>1700</v>
      </c>
      <c r="C157" s="1716" t="s">
        <v>1962</v>
      </c>
      <c r="D157" s="1715" t="s">
        <v>1646</v>
      </c>
      <c r="E157" s="1715" t="s">
        <v>1646</v>
      </c>
      <c r="F157" s="1715" t="s">
        <v>1646</v>
      </c>
      <c r="G157" s="1715" t="s">
        <v>1646</v>
      </c>
      <c r="H157" s="1715" t="s">
        <v>1646</v>
      </c>
      <c r="I157" s="1719">
        <v>2000000</v>
      </c>
    </row>
    <row r="158" spans="1:10" ht="19.5" customHeight="1" x14ac:dyDescent="0.25">
      <c r="A158" s="2041" t="s">
        <v>1646</v>
      </c>
      <c r="B158" s="1715" t="s">
        <v>1646</v>
      </c>
      <c r="C158" s="3288" t="s">
        <v>2031</v>
      </c>
      <c r="D158" s="1715" t="s">
        <v>1592</v>
      </c>
      <c r="E158" s="1715" t="s">
        <v>1620</v>
      </c>
      <c r="F158" s="1715" t="s">
        <v>1629</v>
      </c>
      <c r="G158" s="1715" t="s">
        <v>1646</v>
      </c>
      <c r="H158" s="1715" t="s">
        <v>1646</v>
      </c>
      <c r="I158" s="1719">
        <v>2000000</v>
      </c>
      <c r="J158" s="1705" t="s">
        <v>2033</v>
      </c>
    </row>
    <row r="159" spans="1:10" ht="19.5" customHeight="1" x14ac:dyDescent="0.25">
      <c r="A159" s="2041" t="s">
        <v>1646</v>
      </c>
      <c r="B159" s="1715"/>
      <c r="C159" s="3288"/>
      <c r="D159" s="1715" t="s">
        <v>1646</v>
      </c>
      <c r="E159" s="1715" t="s">
        <v>1646</v>
      </c>
      <c r="F159" s="1715" t="s">
        <v>1646</v>
      </c>
      <c r="G159" s="1715" t="s">
        <v>1615</v>
      </c>
      <c r="H159" s="1715" t="s">
        <v>1646</v>
      </c>
      <c r="I159" s="1719">
        <v>2000000</v>
      </c>
    </row>
    <row r="160" spans="1:10" ht="19.5" customHeight="1" x14ac:dyDescent="0.25">
      <c r="A160" s="2041" t="s">
        <v>1646</v>
      </c>
      <c r="B160" s="1715" t="s">
        <v>1646</v>
      </c>
      <c r="C160" s="3288"/>
      <c r="D160" s="1715" t="s">
        <v>1646</v>
      </c>
      <c r="E160" s="1715" t="s">
        <v>1646</v>
      </c>
      <c r="F160" s="1715" t="s">
        <v>1646</v>
      </c>
      <c r="G160" s="1715" t="s">
        <v>1615</v>
      </c>
      <c r="H160" s="1715" t="s">
        <v>1616</v>
      </c>
      <c r="I160" s="1719">
        <v>2000000</v>
      </c>
    </row>
    <row r="161" spans="1:10" ht="105" customHeight="1" x14ac:dyDescent="0.25">
      <c r="A161" s="2041" t="s">
        <v>1646</v>
      </c>
      <c r="B161" s="1715" t="s">
        <v>1702</v>
      </c>
      <c r="C161" s="1716" t="s">
        <v>1963</v>
      </c>
      <c r="D161" s="1715" t="s">
        <v>1646</v>
      </c>
      <c r="E161" s="1715" t="s">
        <v>1646</v>
      </c>
      <c r="F161" s="1715" t="s">
        <v>1646</v>
      </c>
      <c r="G161" s="1715" t="s">
        <v>1646</v>
      </c>
      <c r="H161" s="1715" t="s">
        <v>1646</v>
      </c>
      <c r="I161" s="1719">
        <v>10000000</v>
      </c>
    </row>
    <row r="162" spans="1:10" ht="19.5" customHeight="1" x14ac:dyDescent="0.25">
      <c r="A162" s="2041" t="s">
        <v>1646</v>
      </c>
      <c r="B162" s="1715" t="s">
        <v>1646</v>
      </c>
      <c r="C162" s="3288" t="s">
        <v>2031</v>
      </c>
      <c r="D162" s="1715" t="s">
        <v>1592</v>
      </c>
      <c r="E162" s="1715" t="s">
        <v>1642</v>
      </c>
      <c r="F162" s="1715" t="s">
        <v>1650</v>
      </c>
      <c r="G162" s="1715" t="s">
        <v>1646</v>
      </c>
      <c r="H162" s="1715" t="s">
        <v>1646</v>
      </c>
      <c r="I162" s="1719">
        <v>10000000</v>
      </c>
      <c r="J162" s="1705" t="s">
        <v>2034</v>
      </c>
    </row>
    <row r="163" spans="1:10" ht="19.5" customHeight="1" x14ac:dyDescent="0.25">
      <c r="A163" s="2041" t="s">
        <v>1646</v>
      </c>
      <c r="B163" s="1715" t="s">
        <v>1646</v>
      </c>
      <c r="C163" s="3288"/>
      <c r="D163" s="1715" t="s">
        <v>1646</v>
      </c>
      <c r="E163" s="1715" t="s">
        <v>1646</v>
      </c>
      <c r="F163" s="1715" t="s">
        <v>1646</v>
      </c>
      <c r="G163" s="1715" t="s">
        <v>1654</v>
      </c>
      <c r="H163" s="1715" t="s">
        <v>1646</v>
      </c>
      <c r="I163" s="1719">
        <v>10000000</v>
      </c>
    </row>
    <row r="164" spans="1:10" ht="19.5" customHeight="1" x14ac:dyDescent="0.25">
      <c r="A164" s="2041" t="s">
        <v>1646</v>
      </c>
      <c r="B164" s="1715" t="s">
        <v>1646</v>
      </c>
      <c r="C164" s="1716" t="s">
        <v>2031</v>
      </c>
      <c r="D164" s="1715" t="s">
        <v>1646</v>
      </c>
      <c r="E164" s="1715" t="s">
        <v>1646</v>
      </c>
      <c r="F164" s="1715" t="s">
        <v>1646</v>
      </c>
      <c r="G164" s="1715" t="s">
        <v>1654</v>
      </c>
      <c r="H164" s="1715" t="s">
        <v>1663</v>
      </c>
      <c r="I164" s="1719">
        <v>10000000</v>
      </c>
    </row>
    <row r="165" spans="1:10" ht="47.25" hidden="1" x14ac:dyDescent="0.25">
      <c r="A165" s="2040" t="s">
        <v>1704</v>
      </c>
      <c r="B165" s="1718" t="s">
        <v>1705</v>
      </c>
      <c r="C165" s="2029" t="s">
        <v>1964</v>
      </c>
      <c r="D165" s="2015" t="s">
        <v>1646</v>
      </c>
      <c r="E165" s="2015" t="s">
        <v>1646</v>
      </c>
      <c r="F165" s="2015" t="s">
        <v>1646</v>
      </c>
      <c r="G165" s="2015" t="s">
        <v>1646</v>
      </c>
      <c r="H165" s="2015" t="s">
        <v>1646</v>
      </c>
      <c r="I165" s="2038">
        <v>603189297</v>
      </c>
    </row>
    <row r="166" spans="1:10" ht="31.5" hidden="1" x14ac:dyDescent="0.25">
      <c r="A166" s="2041" t="s">
        <v>1646</v>
      </c>
      <c r="B166" s="1715" t="s">
        <v>1707</v>
      </c>
      <c r="C166" s="2037" t="s">
        <v>1965</v>
      </c>
      <c r="D166" s="2015" t="s">
        <v>1646</v>
      </c>
      <c r="E166" s="2015" t="s">
        <v>1646</v>
      </c>
      <c r="F166" s="2015" t="s">
        <v>1646</v>
      </c>
      <c r="G166" s="2015" t="s">
        <v>1646</v>
      </c>
      <c r="H166" s="2015" t="s">
        <v>1646</v>
      </c>
      <c r="I166" s="2039">
        <v>603189297</v>
      </c>
    </row>
    <row r="167" spans="1:10" ht="31.5" hidden="1" x14ac:dyDescent="0.25">
      <c r="A167" s="2041" t="s">
        <v>1646</v>
      </c>
      <c r="B167" s="1715" t="s">
        <v>1646</v>
      </c>
      <c r="C167" s="2037" t="s">
        <v>1935</v>
      </c>
      <c r="D167" s="2015" t="s">
        <v>1592</v>
      </c>
      <c r="E167" s="2015" t="s">
        <v>1600</v>
      </c>
      <c r="F167" s="2015" t="s">
        <v>1636</v>
      </c>
      <c r="G167" s="2015" t="s">
        <v>1646</v>
      </c>
      <c r="H167" s="2015" t="s">
        <v>1646</v>
      </c>
      <c r="I167" s="2039">
        <v>276189297</v>
      </c>
    </row>
    <row r="168" spans="1:10" hidden="1" x14ac:dyDescent="0.25">
      <c r="A168" s="2041" t="s">
        <v>1646</v>
      </c>
      <c r="B168" s="1715" t="s">
        <v>1646</v>
      </c>
      <c r="C168" s="2037" t="s">
        <v>1646</v>
      </c>
      <c r="D168" s="2015" t="s">
        <v>1646</v>
      </c>
      <c r="E168" s="2015" t="s">
        <v>1646</v>
      </c>
      <c r="F168" s="2015" t="s">
        <v>1646</v>
      </c>
      <c r="G168" s="2015" t="s">
        <v>1654</v>
      </c>
      <c r="H168" s="2015" t="s">
        <v>1646</v>
      </c>
      <c r="I168" s="2039">
        <v>251808150</v>
      </c>
    </row>
    <row r="169" spans="1:10" hidden="1" x14ac:dyDescent="0.25">
      <c r="A169" s="2041" t="s">
        <v>1646</v>
      </c>
      <c r="B169" s="1715" t="s">
        <v>1646</v>
      </c>
      <c r="C169" s="2037" t="s">
        <v>1646</v>
      </c>
      <c r="D169" s="2015" t="s">
        <v>1646</v>
      </c>
      <c r="E169" s="2015" t="s">
        <v>1646</v>
      </c>
      <c r="F169" s="2015" t="s">
        <v>1646</v>
      </c>
      <c r="G169" s="2015" t="s">
        <v>1654</v>
      </c>
      <c r="H169" s="2015" t="s">
        <v>1655</v>
      </c>
      <c r="I169" s="2039">
        <v>251808150</v>
      </c>
    </row>
    <row r="170" spans="1:10" hidden="1" x14ac:dyDescent="0.25">
      <c r="A170" s="2041" t="s">
        <v>1646</v>
      </c>
      <c r="B170" s="1715" t="s">
        <v>1646</v>
      </c>
      <c r="C170" s="2037" t="s">
        <v>1646</v>
      </c>
      <c r="D170" s="2015" t="s">
        <v>1646</v>
      </c>
      <c r="E170" s="2015" t="s">
        <v>1646</v>
      </c>
      <c r="F170" s="2015" t="s">
        <v>1646</v>
      </c>
      <c r="G170" s="2015" t="s">
        <v>1618</v>
      </c>
      <c r="H170" s="2015" t="s">
        <v>1646</v>
      </c>
      <c r="I170" s="2039">
        <v>24381147</v>
      </c>
    </row>
    <row r="171" spans="1:10" hidden="1" x14ac:dyDescent="0.25">
      <c r="A171" s="2041" t="s">
        <v>1646</v>
      </c>
      <c r="B171" s="1715"/>
      <c r="C171" s="2037" t="s">
        <v>1646</v>
      </c>
      <c r="D171" s="2015" t="s">
        <v>1646</v>
      </c>
      <c r="E171" s="2015" t="s">
        <v>1646</v>
      </c>
      <c r="F171" s="2015" t="s">
        <v>1646</v>
      </c>
      <c r="G171" s="2015" t="s">
        <v>1618</v>
      </c>
      <c r="H171" s="2015" t="s">
        <v>1622</v>
      </c>
      <c r="I171" s="2039">
        <v>24381147</v>
      </c>
    </row>
    <row r="172" spans="1:10" ht="31.5" hidden="1" x14ac:dyDescent="0.25">
      <c r="A172" s="2041" t="s">
        <v>1646</v>
      </c>
      <c r="B172" s="1715" t="s">
        <v>1646</v>
      </c>
      <c r="C172" s="2037" t="s">
        <v>1966</v>
      </c>
      <c r="D172" s="2015" t="s">
        <v>1592</v>
      </c>
      <c r="E172" s="2015" t="s">
        <v>1600</v>
      </c>
      <c r="F172" s="2015" t="s">
        <v>1603</v>
      </c>
      <c r="G172" s="2015" t="s">
        <v>1646</v>
      </c>
      <c r="H172" s="2015" t="s">
        <v>1646</v>
      </c>
      <c r="I172" s="2039">
        <v>327000000</v>
      </c>
    </row>
    <row r="173" spans="1:10" hidden="1" x14ac:dyDescent="0.25">
      <c r="A173" s="2041" t="s">
        <v>1646</v>
      </c>
      <c r="B173" s="1715" t="s">
        <v>1646</v>
      </c>
      <c r="C173" s="2037" t="s">
        <v>1646</v>
      </c>
      <c r="D173" s="2015" t="s">
        <v>1646</v>
      </c>
      <c r="E173" s="2015" t="s">
        <v>1646</v>
      </c>
      <c r="F173" s="2015" t="s">
        <v>1646</v>
      </c>
      <c r="G173" s="2015" t="s">
        <v>1602</v>
      </c>
      <c r="H173" s="2015" t="s">
        <v>1646</v>
      </c>
      <c r="I173" s="2039">
        <v>327000000</v>
      </c>
    </row>
    <row r="174" spans="1:10" hidden="1" x14ac:dyDescent="0.25">
      <c r="A174" s="2041" t="s">
        <v>1646</v>
      </c>
      <c r="B174" s="1715" t="s">
        <v>1646</v>
      </c>
      <c r="C174" s="2037" t="s">
        <v>1646</v>
      </c>
      <c r="D174" s="2015" t="s">
        <v>1646</v>
      </c>
      <c r="E174" s="2015" t="s">
        <v>1646</v>
      </c>
      <c r="F174" s="2015" t="s">
        <v>1646</v>
      </c>
      <c r="G174" s="2015" t="s">
        <v>1602</v>
      </c>
      <c r="H174" s="2015" t="s">
        <v>1637</v>
      </c>
      <c r="I174" s="2039">
        <v>327000000</v>
      </c>
    </row>
    <row r="175" spans="1:10" ht="31.5" hidden="1" x14ac:dyDescent="0.25">
      <c r="A175" s="2040" t="s">
        <v>1709</v>
      </c>
      <c r="B175" s="1718" t="s">
        <v>1710</v>
      </c>
      <c r="C175" s="2029" t="s">
        <v>1967</v>
      </c>
      <c r="D175" s="2015" t="s">
        <v>1646</v>
      </c>
      <c r="E175" s="2015" t="s">
        <v>1646</v>
      </c>
      <c r="F175" s="2015" t="s">
        <v>1646</v>
      </c>
      <c r="G175" s="2015" t="s">
        <v>1646</v>
      </c>
      <c r="H175" s="2015" t="s">
        <v>1646</v>
      </c>
      <c r="I175" s="2038">
        <v>139090000</v>
      </c>
    </row>
    <row r="176" spans="1:10" ht="47.25" hidden="1" x14ac:dyDescent="0.25">
      <c r="A176" s="2041" t="s">
        <v>1646</v>
      </c>
      <c r="B176" s="1715" t="s">
        <v>1712</v>
      </c>
      <c r="C176" s="2037" t="s">
        <v>1968</v>
      </c>
      <c r="D176" s="2015" t="s">
        <v>1646</v>
      </c>
      <c r="E176" s="2015" t="s">
        <v>1646</v>
      </c>
      <c r="F176" s="2015" t="s">
        <v>1646</v>
      </c>
      <c r="G176" s="2015" t="s">
        <v>1646</v>
      </c>
      <c r="H176" s="2015" t="s">
        <v>1646</v>
      </c>
      <c r="I176" s="2039">
        <v>139090000</v>
      </c>
    </row>
    <row r="177" spans="1:9" hidden="1" x14ac:dyDescent="0.25">
      <c r="A177" s="2040"/>
      <c r="B177" s="1718"/>
      <c r="C177" s="2037"/>
      <c r="D177" s="2015" t="s">
        <v>1592</v>
      </c>
      <c r="E177" s="2015" t="s">
        <v>1714</v>
      </c>
      <c r="F177" s="2015" t="s">
        <v>1715</v>
      </c>
      <c r="G177" s="2015" t="s">
        <v>1646</v>
      </c>
      <c r="H177" s="2015" t="s">
        <v>1646</v>
      </c>
      <c r="I177" s="2039">
        <v>139090000</v>
      </c>
    </row>
    <row r="178" spans="1:9" hidden="1" x14ac:dyDescent="0.25">
      <c r="A178" s="2041"/>
      <c r="B178" s="1715"/>
      <c r="C178" s="2037" t="s">
        <v>1646</v>
      </c>
      <c r="D178" s="2015" t="s">
        <v>1646</v>
      </c>
      <c r="E178" s="2015" t="s">
        <v>1646</v>
      </c>
      <c r="F178" s="2015" t="s">
        <v>1646</v>
      </c>
      <c r="G178" s="2015" t="s">
        <v>1607</v>
      </c>
      <c r="H178" s="2015" t="s">
        <v>1646</v>
      </c>
      <c r="I178" s="2039">
        <v>10492438</v>
      </c>
    </row>
    <row r="179" spans="1:9" hidden="1" x14ac:dyDescent="0.25">
      <c r="A179" s="2041" t="s">
        <v>1646</v>
      </c>
      <c r="B179" s="1715" t="s">
        <v>1646</v>
      </c>
      <c r="C179" s="2037" t="s">
        <v>1646</v>
      </c>
      <c r="D179" s="2015" t="s">
        <v>1646</v>
      </c>
      <c r="E179" s="2015" t="s">
        <v>1646</v>
      </c>
      <c r="F179" s="2015" t="s">
        <v>1646</v>
      </c>
      <c r="G179" s="2015" t="s">
        <v>1607</v>
      </c>
      <c r="H179" s="2015" t="s">
        <v>1608</v>
      </c>
      <c r="I179" s="2039">
        <v>10492438</v>
      </c>
    </row>
    <row r="180" spans="1:9" hidden="1" x14ac:dyDescent="0.25">
      <c r="A180" s="2041" t="s">
        <v>1646</v>
      </c>
      <c r="B180" s="1715" t="s">
        <v>1646</v>
      </c>
      <c r="C180" s="2037" t="s">
        <v>1646</v>
      </c>
      <c r="D180" s="2015" t="s">
        <v>1646</v>
      </c>
      <c r="E180" s="2015" t="s">
        <v>1646</v>
      </c>
      <c r="F180" s="2015" t="s">
        <v>1646</v>
      </c>
      <c r="G180" s="2015" t="s">
        <v>1623</v>
      </c>
      <c r="H180" s="2015" t="s">
        <v>1646</v>
      </c>
      <c r="I180" s="2039">
        <v>672734</v>
      </c>
    </row>
    <row r="181" spans="1:9" hidden="1" x14ac:dyDescent="0.25">
      <c r="A181" s="2041" t="s">
        <v>1646</v>
      </c>
      <c r="B181" s="1715" t="s">
        <v>1646</v>
      </c>
      <c r="C181" s="2037" t="s">
        <v>1646</v>
      </c>
      <c r="D181" s="2015" t="s">
        <v>1646</v>
      </c>
      <c r="E181" s="2015" t="s">
        <v>1646</v>
      </c>
      <c r="F181" s="2015" t="s">
        <v>1646</v>
      </c>
      <c r="G181" s="2015" t="s">
        <v>1623</v>
      </c>
      <c r="H181" s="2015" t="s">
        <v>1624</v>
      </c>
      <c r="I181" s="2039">
        <v>672734</v>
      </c>
    </row>
    <row r="182" spans="1:9" hidden="1" x14ac:dyDescent="0.25">
      <c r="A182" s="2041" t="s">
        <v>1646</v>
      </c>
      <c r="B182" s="1715" t="s">
        <v>1646</v>
      </c>
      <c r="C182" s="2037" t="s">
        <v>1646</v>
      </c>
      <c r="D182" s="2015" t="s">
        <v>1646</v>
      </c>
      <c r="E182" s="2015" t="s">
        <v>1646</v>
      </c>
      <c r="F182" s="2015" t="s">
        <v>1646</v>
      </c>
      <c r="G182" s="2015" t="s">
        <v>1652</v>
      </c>
      <c r="H182" s="2015" t="s">
        <v>1646</v>
      </c>
      <c r="I182" s="2039">
        <v>26988828</v>
      </c>
    </row>
    <row r="183" spans="1:9" hidden="1" x14ac:dyDescent="0.25">
      <c r="A183" s="2041" t="s">
        <v>1646</v>
      </c>
      <c r="B183" s="1715" t="s">
        <v>1646</v>
      </c>
      <c r="C183" s="2037" t="s">
        <v>1646</v>
      </c>
      <c r="D183" s="2015" t="s">
        <v>1646</v>
      </c>
      <c r="E183" s="2015" t="s">
        <v>1646</v>
      </c>
      <c r="F183" s="2015" t="s">
        <v>1646</v>
      </c>
      <c r="G183" s="2015" t="s">
        <v>1652</v>
      </c>
      <c r="H183" s="2015" t="s">
        <v>1653</v>
      </c>
      <c r="I183" s="2039">
        <v>26988828</v>
      </c>
    </row>
    <row r="184" spans="1:9" hidden="1" x14ac:dyDescent="0.25">
      <c r="A184" s="2041" t="s">
        <v>1646</v>
      </c>
      <c r="B184" s="1715" t="s">
        <v>1646</v>
      </c>
      <c r="C184" s="2037" t="s">
        <v>1646</v>
      </c>
      <c r="D184" s="2015" t="s">
        <v>1646</v>
      </c>
      <c r="E184" s="2015" t="s">
        <v>1646</v>
      </c>
      <c r="F184" s="2015" t="s">
        <v>1646</v>
      </c>
      <c r="G184" s="2015" t="s">
        <v>1654</v>
      </c>
      <c r="H184" s="2015" t="s">
        <v>1646</v>
      </c>
      <c r="I184" s="2039">
        <v>10495000</v>
      </c>
    </row>
    <row r="185" spans="1:9" hidden="1" x14ac:dyDescent="0.25">
      <c r="A185" s="2041" t="s">
        <v>1646</v>
      </c>
      <c r="B185" s="1715" t="s">
        <v>1646</v>
      </c>
      <c r="C185" s="2037" t="s">
        <v>1646</v>
      </c>
      <c r="D185" s="2015" t="s">
        <v>1646</v>
      </c>
      <c r="E185" s="2015" t="s">
        <v>1646</v>
      </c>
      <c r="F185" s="2015" t="s">
        <v>1646</v>
      </c>
      <c r="G185" s="2015" t="s">
        <v>1654</v>
      </c>
      <c r="H185" s="2015" t="s">
        <v>1655</v>
      </c>
      <c r="I185" s="2039">
        <v>10495000</v>
      </c>
    </row>
    <row r="186" spans="1:9" hidden="1" x14ac:dyDescent="0.25">
      <c r="A186" s="2041" t="s">
        <v>1646</v>
      </c>
      <c r="B186" s="1715" t="s">
        <v>1646</v>
      </c>
      <c r="C186" s="2037" t="s">
        <v>1646</v>
      </c>
      <c r="D186" s="2015" t="s">
        <v>1646</v>
      </c>
      <c r="E186" s="2015" t="s">
        <v>1646</v>
      </c>
      <c r="F186" s="2015" t="s">
        <v>1646</v>
      </c>
      <c r="G186" s="2015" t="s">
        <v>1618</v>
      </c>
      <c r="H186" s="2015" t="s">
        <v>1646</v>
      </c>
      <c r="I186" s="2039">
        <v>46841000</v>
      </c>
    </row>
    <row r="187" spans="1:9" hidden="1" x14ac:dyDescent="0.25">
      <c r="A187" s="2041" t="s">
        <v>1646</v>
      </c>
      <c r="B187" s="1715" t="s">
        <v>1646</v>
      </c>
      <c r="C187" s="2037" t="s">
        <v>1646</v>
      </c>
      <c r="D187" s="2015" t="s">
        <v>1646</v>
      </c>
      <c r="E187" s="2015" t="s">
        <v>1646</v>
      </c>
      <c r="F187" s="2015" t="s">
        <v>1646</v>
      </c>
      <c r="G187" s="2015" t="s">
        <v>1618</v>
      </c>
      <c r="H187" s="2015" t="s">
        <v>1716</v>
      </c>
      <c r="I187" s="2039">
        <v>20000000</v>
      </c>
    </row>
    <row r="188" spans="1:9" hidden="1" x14ac:dyDescent="0.25">
      <c r="A188" s="2041" t="s">
        <v>1646</v>
      </c>
      <c r="B188" s="1715" t="s">
        <v>1646</v>
      </c>
      <c r="C188" s="2037" t="s">
        <v>1646</v>
      </c>
      <c r="D188" s="2015" t="s">
        <v>1646</v>
      </c>
      <c r="E188" s="2015" t="s">
        <v>1646</v>
      </c>
      <c r="F188" s="2015" t="s">
        <v>1646</v>
      </c>
      <c r="G188" s="2015" t="s">
        <v>1618</v>
      </c>
      <c r="H188" s="2015" t="s">
        <v>1622</v>
      </c>
      <c r="I188" s="2039">
        <v>26841000</v>
      </c>
    </row>
    <row r="189" spans="1:9" hidden="1" x14ac:dyDescent="0.25">
      <c r="A189" s="2040"/>
      <c r="B189" s="1718"/>
      <c r="C189" s="2037" t="s">
        <v>1646</v>
      </c>
      <c r="D189" s="2015" t="s">
        <v>1646</v>
      </c>
      <c r="E189" s="2015" t="s">
        <v>1646</v>
      </c>
      <c r="F189" s="2015" t="s">
        <v>1646</v>
      </c>
      <c r="G189" s="2015" t="s">
        <v>1615</v>
      </c>
      <c r="H189" s="2015" t="s">
        <v>1646</v>
      </c>
      <c r="I189" s="2039">
        <v>43600000</v>
      </c>
    </row>
    <row r="190" spans="1:9" hidden="1" x14ac:dyDescent="0.25">
      <c r="A190" s="2041"/>
      <c r="B190" s="1715"/>
      <c r="C190" s="2037" t="s">
        <v>1646</v>
      </c>
      <c r="D190" s="2015" t="s">
        <v>1646</v>
      </c>
      <c r="E190" s="2015" t="s">
        <v>1646</v>
      </c>
      <c r="F190" s="2015" t="s">
        <v>1646</v>
      </c>
      <c r="G190" s="2015" t="s">
        <v>1615</v>
      </c>
      <c r="H190" s="2015" t="s">
        <v>1616</v>
      </c>
      <c r="I190" s="2039">
        <v>43600000</v>
      </c>
    </row>
    <row r="191" spans="1:9" hidden="1" x14ac:dyDescent="0.25">
      <c r="A191" s="2042"/>
      <c r="B191" s="2026"/>
      <c r="C191" s="2027"/>
      <c r="D191" s="2026"/>
      <c r="E191" s="2026"/>
      <c r="F191" s="2026"/>
      <c r="G191" s="2026"/>
      <c r="H191" s="2026"/>
      <c r="I191" s="2028"/>
    </row>
    <row r="192" spans="1:9" ht="24" hidden="1" customHeight="1" x14ac:dyDescent="0.25">
      <c r="A192" s="3276" t="s">
        <v>2343</v>
      </c>
      <c r="B192" s="3276"/>
      <c r="C192" s="3276"/>
      <c r="D192" s="1705"/>
      <c r="E192" s="1713"/>
      <c r="F192" s="3276" t="s">
        <v>2343</v>
      </c>
      <c r="G192" s="3276"/>
      <c r="H192" s="3276"/>
      <c r="I192" s="3276"/>
    </row>
    <row r="193" spans="1:9" ht="35.25" hidden="1" customHeight="1" x14ac:dyDescent="0.25">
      <c r="A193" s="3278" t="s">
        <v>1720</v>
      </c>
      <c r="B193" s="3278"/>
      <c r="C193" s="3278"/>
      <c r="D193" s="1704"/>
      <c r="E193" s="1704"/>
      <c r="F193" s="3278" t="s">
        <v>1855</v>
      </c>
      <c r="G193" s="3278"/>
      <c r="H193" s="3278"/>
      <c r="I193" s="3278"/>
    </row>
    <row r="194" spans="1:9" ht="21.75" hidden="1" customHeight="1" x14ac:dyDescent="0.25">
      <c r="A194" s="3276" t="s">
        <v>12</v>
      </c>
      <c r="B194" s="3276"/>
      <c r="C194" s="3276"/>
      <c r="D194" s="1713"/>
      <c r="E194" s="1713"/>
      <c r="F194" s="3276" t="s">
        <v>12</v>
      </c>
      <c r="G194" s="3276"/>
      <c r="H194" s="3276"/>
      <c r="I194" s="3276"/>
    </row>
    <row r="195" spans="1:9" hidden="1" x14ac:dyDescent="0.25"/>
    <row r="196" spans="1:9" hidden="1" x14ac:dyDescent="0.25"/>
    <row r="197" spans="1:9" hidden="1" x14ac:dyDescent="0.25"/>
    <row r="198" spans="1:9" hidden="1" x14ac:dyDescent="0.25"/>
    <row r="199" spans="1:9" hidden="1" x14ac:dyDescent="0.25"/>
    <row r="200" spans="1:9" hidden="1" x14ac:dyDescent="0.25">
      <c r="B200" s="1714"/>
      <c r="C200" s="1714"/>
      <c r="D200" s="1714"/>
      <c r="E200" s="1714"/>
      <c r="F200" s="3283" t="s">
        <v>1386</v>
      </c>
      <c r="G200" s="3283"/>
      <c r="H200" s="3283"/>
      <c r="I200" s="3283"/>
    </row>
  </sheetData>
  <mergeCells count="34">
    <mergeCell ref="C142:C144"/>
    <mergeCell ref="C138:C140"/>
    <mergeCell ref="C18:C27"/>
    <mergeCell ref="C29:C37"/>
    <mergeCell ref="C39:C51"/>
    <mergeCell ref="C53:C54"/>
    <mergeCell ref="C56:C60"/>
    <mergeCell ref="C62:C67"/>
    <mergeCell ref="C69:C71"/>
    <mergeCell ref="A193:C193"/>
    <mergeCell ref="F193:I193"/>
    <mergeCell ref="A194:C194"/>
    <mergeCell ref="F194:I194"/>
    <mergeCell ref="F200:I200"/>
    <mergeCell ref="A3:I3"/>
    <mergeCell ref="C103:C118"/>
    <mergeCell ref="C120:C125"/>
    <mergeCell ref="C127:C131"/>
    <mergeCell ref="A1:C1"/>
    <mergeCell ref="G1:I1"/>
    <mergeCell ref="A2:I2"/>
    <mergeCell ref="G4:I4"/>
    <mergeCell ref="C10:C16"/>
    <mergeCell ref="C75:C78"/>
    <mergeCell ref="C80:C81"/>
    <mergeCell ref="C88:C91"/>
    <mergeCell ref="C93:C96"/>
    <mergeCell ref="C98:C101"/>
    <mergeCell ref="A192:C192"/>
    <mergeCell ref="F192:I192"/>
    <mergeCell ref="C158:C160"/>
    <mergeCell ref="C154:C156"/>
    <mergeCell ref="C146:C152"/>
    <mergeCell ref="C162:C163"/>
  </mergeCells>
  <pageMargins left="0.56999999999999995" right="0.7" top="0.56000000000000005" bottom="0.57999999999999996" header="0.3" footer="0.3"/>
  <pageSetup paperSize="9" scale="69" firstPageNumber="70" orientation="portrait" useFirstPageNumber="1" verticalDpi="0" r:id="rId1"/>
  <headerFooter>
    <oddFooter>&amp;C&amp;P</oddFooter>
  </headerFooter>
  <rowBreaks count="3" manualBreakCount="3">
    <brk id="95" max="8" man="1"/>
    <brk id="131" max="8" man="1"/>
    <brk id="160" max="16383" man="1"/>
  </row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216"/>
  <sheetViews>
    <sheetView topLeftCell="A7" zoomScaleNormal="100" zoomScaleSheetLayoutView="100" workbookViewId="0">
      <selection activeCell="M22" sqref="M22"/>
    </sheetView>
  </sheetViews>
  <sheetFormatPr defaultRowHeight="15.75" x14ac:dyDescent="0.25"/>
  <cols>
    <col min="1" max="1" width="5.7109375" style="1706" customWidth="1"/>
    <col min="2" max="2" width="11" style="1705" customWidth="1"/>
    <col min="3" max="3" width="37" style="1703" customWidth="1"/>
    <col min="4" max="7" width="9.28515625" style="1703" customWidth="1"/>
    <col min="8" max="8" width="14.140625" style="1705" customWidth="1"/>
    <col min="9" max="9" width="9.140625" style="1705"/>
    <col min="10" max="10" width="10.85546875" style="1705" customWidth="1"/>
    <col min="11" max="11" width="9.42578125" style="1705" bestFit="1" customWidth="1"/>
    <col min="12" max="12" width="9.140625" style="1705"/>
    <col min="13" max="13" width="17" style="1705" customWidth="1"/>
    <col min="14" max="253" width="9.140625" style="1705"/>
    <col min="254" max="254" width="5.7109375" style="1705" customWidth="1"/>
    <col min="255" max="255" width="31.140625" style="1705" customWidth="1"/>
    <col min="256" max="260" width="8.42578125" style="1705" customWidth="1"/>
    <col min="261" max="261" width="16.140625" style="1705" customWidth="1"/>
    <col min="262" max="262" width="17.7109375" style="1705" customWidth="1"/>
    <col min="263" max="263" width="13.140625" style="1705" customWidth="1"/>
    <col min="264" max="264" width="11.7109375" style="1705" customWidth="1"/>
    <col min="265" max="509" width="9.140625" style="1705"/>
    <col min="510" max="510" width="5.7109375" style="1705" customWidth="1"/>
    <col min="511" max="511" width="31.140625" style="1705" customWidth="1"/>
    <col min="512" max="516" width="8.42578125" style="1705" customWidth="1"/>
    <col min="517" max="517" width="16.140625" style="1705" customWidth="1"/>
    <col min="518" max="518" width="17.7109375" style="1705" customWidth="1"/>
    <col min="519" max="519" width="13.140625" style="1705" customWidth="1"/>
    <col min="520" max="520" width="11.7109375" style="1705" customWidth="1"/>
    <col min="521" max="765" width="9.140625" style="1705"/>
    <col min="766" max="766" width="5.7109375" style="1705" customWidth="1"/>
    <col min="767" max="767" width="31.140625" style="1705" customWidth="1"/>
    <col min="768" max="772" width="8.42578125" style="1705" customWidth="1"/>
    <col min="773" max="773" width="16.140625" style="1705" customWidth="1"/>
    <col min="774" max="774" width="17.7109375" style="1705" customWidth="1"/>
    <col min="775" max="775" width="13.140625" style="1705" customWidth="1"/>
    <col min="776" max="776" width="11.7109375" style="1705" customWidth="1"/>
    <col min="777" max="1021" width="9.140625" style="1705"/>
    <col min="1022" max="1022" width="5.7109375" style="1705" customWidth="1"/>
    <col min="1023" max="1023" width="31.140625" style="1705" customWidth="1"/>
    <col min="1024" max="1028" width="8.42578125" style="1705" customWidth="1"/>
    <col min="1029" max="1029" width="16.140625" style="1705" customWidth="1"/>
    <col min="1030" max="1030" width="17.7109375" style="1705" customWidth="1"/>
    <col min="1031" max="1031" width="13.140625" style="1705" customWidth="1"/>
    <col min="1032" max="1032" width="11.7109375" style="1705" customWidth="1"/>
    <col min="1033" max="1277" width="9.140625" style="1705"/>
    <col min="1278" max="1278" width="5.7109375" style="1705" customWidth="1"/>
    <col min="1279" max="1279" width="31.140625" style="1705" customWidth="1"/>
    <col min="1280" max="1284" width="8.42578125" style="1705" customWidth="1"/>
    <col min="1285" max="1285" width="16.140625" style="1705" customWidth="1"/>
    <col min="1286" max="1286" width="17.7109375" style="1705" customWidth="1"/>
    <col min="1287" max="1287" width="13.140625" style="1705" customWidth="1"/>
    <col min="1288" max="1288" width="11.7109375" style="1705" customWidth="1"/>
    <col min="1289" max="1533" width="9.140625" style="1705"/>
    <col min="1534" max="1534" width="5.7109375" style="1705" customWidth="1"/>
    <col min="1535" max="1535" width="31.140625" style="1705" customWidth="1"/>
    <col min="1536" max="1540" width="8.42578125" style="1705" customWidth="1"/>
    <col min="1541" max="1541" width="16.140625" style="1705" customWidth="1"/>
    <col min="1542" max="1542" width="17.7109375" style="1705" customWidth="1"/>
    <col min="1543" max="1543" width="13.140625" style="1705" customWidth="1"/>
    <col min="1544" max="1544" width="11.7109375" style="1705" customWidth="1"/>
    <col min="1545" max="1789" width="9.140625" style="1705"/>
    <col min="1790" max="1790" width="5.7109375" style="1705" customWidth="1"/>
    <col min="1791" max="1791" width="31.140625" style="1705" customWidth="1"/>
    <col min="1792" max="1796" width="8.42578125" style="1705" customWidth="1"/>
    <col min="1797" max="1797" width="16.140625" style="1705" customWidth="1"/>
    <col min="1798" max="1798" width="17.7109375" style="1705" customWidth="1"/>
    <col min="1799" max="1799" width="13.140625" style="1705" customWidth="1"/>
    <col min="1800" max="1800" width="11.7109375" style="1705" customWidth="1"/>
    <col min="1801" max="2045" width="9.140625" style="1705"/>
    <col min="2046" max="2046" width="5.7109375" style="1705" customWidth="1"/>
    <col min="2047" max="2047" width="31.140625" style="1705" customWidth="1"/>
    <col min="2048" max="2052" width="8.42578125" style="1705" customWidth="1"/>
    <col min="2053" max="2053" width="16.140625" style="1705" customWidth="1"/>
    <col min="2054" max="2054" width="17.7109375" style="1705" customWidth="1"/>
    <col min="2055" max="2055" width="13.140625" style="1705" customWidth="1"/>
    <col min="2056" max="2056" width="11.7109375" style="1705" customWidth="1"/>
    <col min="2057" max="2301" width="9.140625" style="1705"/>
    <col min="2302" max="2302" width="5.7109375" style="1705" customWidth="1"/>
    <col min="2303" max="2303" width="31.140625" style="1705" customWidth="1"/>
    <col min="2304" max="2308" width="8.42578125" style="1705" customWidth="1"/>
    <col min="2309" max="2309" width="16.140625" style="1705" customWidth="1"/>
    <col min="2310" max="2310" width="17.7109375" style="1705" customWidth="1"/>
    <col min="2311" max="2311" width="13.140625" style="1705" customWidth="1"/>
    <col min="2312" max="2312" width="11.7109375" style="1705" customWidth="1"/>
    <col min="2313" max="2557" width="9.140625" style="1705"/>
    <col min="2558" max="2558" width="5.7109375" style="1705" customWidth="1"/>
    <col min="2559" max="2559" width="31.140625" style="1705" customWidth="1"/>
    <col min="2560" max="2564" width="8.42578125" style="1705" customWidth="1"/>
    <col min="2565" max="2565" width="16.140625" style="1705" customWidth="1"/>
    <col min="2566" max="2566" width="17.7109375" style="1705" customWidth="1"/>
    <col min="2567" max="2567" width="13.140625" style="1705" customWidth="1"/>
    <col min="2568" max="2568" width="11.7109375" style="1705" customWidth="1"/>
    <col min="2569" max="2813" width="9.140625" style="1705"/>
    <col min="2814" max="2814" width="5.7109375" style="1705" customWidth="1"/>
    <col min="2815" max="2815" width="31.140625" style="1705" customWidth="1"/>
    <col min="2816" max="2820" width="8.42578125" style="1705" customWidth="1"/>
    <col min="2821" max="2821" width="16.140625" style="1705" customWidth="1"/>
    <col min="2822" max="2822" width="17.7109375" style="1705" customWidth="1"/>
    <col min="2823" max="2823" width="13.140625" style="1705" customWidth="1"/>
    <col min="2824" max="2824" width="11.7109375" style="1705" customWidth="1"/>
    <col min="2825" max="3069" width="9.140625" style="1705"/>
    <col min="3070" max="3070" width="5.7109375" style="1705" customWidth="1"/>
    <col min="3071" max="3071" width="31.140625" style="1705" customWidth="1"/>
    <col min="3072" max="3076" width="8.42578125" style="1705" customWidth="1"/>
    <col min="3077" max="3077" width="16.140625" style="1705" customWidth="1"/>
    <col min="3078" max="3078" width="17.7109375" style="1705" customWidth="1"/>
    <col min="3079" max="3079" width="13.140625" style="1705" customWidth="1"/>
    <col min="3080" max="3080" width="11.7109375" style="1705" customWidth="1"/>
    <col min="3081" max="3325" width="9.140625" style="1705"/>
    <col min="3326" max="3326" width="5.7109375" style="1705" customWidth="1"/>
    <col min="3327" max="3327" width="31.140625" style="1705" customWidth="1"/>
    <col min="3328" max="3332" width="8.42578125" style="1705" customWidth="1"/>
    <col min="3333" max="3333" width="16.140625" style="1705" customWidth="1"/>
    <col min="3334" max="3334" width="17.7109375" style="1705" customWidth="1"/>
    <col min="3335" max="3335" width="13.140625" style="1705" customWidth="1"/>
    <col min="3336" max="3336" width="11.7109375" style="1705" customWidth="1"/>
    <col min="3337" max="3581" width="9.140625" style="1705"/>
    <col min="3582" max="3582" width="5.7109375" style="1705" customWidth="1"/>
    <col min="3583" max="3583" width="31.140625" style="1705" customWidth="1"/>
    <col min="3584" max="3588" width="8.42578125" style="1705" customWidth="1"/>
    <col min="3589" max="3589" width="16.140625" style="1705" customWidth="1"/>
    <col min="3590" max="3590" width="17.7109375" style="1705" customWidth="1"/>
    <col min="3591" max="3591" width="13.140625" style="1705" customWidth="1"/>
    <col min="3592" max="3592" width="11.7109375" style="1705" customWidth="1"/>
    <col min="3593" max="3837" width="9.140625" style="1705"/>
    <col min="3838" max="3838" width="5.7109375" style="1705" customWidth="1"/>
    <col min="3839" max="3839" width="31.140625" style="1705" customWidth="1"/>
    <col min="3840" max="3844" width="8.42578125" style="1705" customWidth="1"/>
    <col min="3845" max="3845" width="16.140625" style="1705" customWidth="1"/>
    <col min="3846" max="3846" width="17.7109375" style="1705" customWidth="1"/>
    <col min="3847" max="3847" width="13.140625" style="1705" customWidth="1"/>
    <col min="3848" max="3848" width="11.7109375" style="1705" customWidth="1"/>
    <col min="3849" max="4093" width="9.140625" style="1705"/>
    <col min="4094" max="4094" width="5.7109375" style="1705" customWidth="1"/>
    <col min="4095" max="4095" width="31.140625" style="1705" customWidth="1"/>
    <col min="4096" max="4100" width="8.42578125" style="1705" customWidth="1"/>
    <col min="4101" max="4101" width="16.140625" style="1705" customWidth="1"/>
    <col min="4102" max="4102" width="17.7109375" style="1705" customWidth="1"/>
    <col min="4103" max="4103" width="13.140625" style="1705" customWidth="1"/>
    <col min="4104" max="4104" width="11.7109375" style="1705" customWidth="1"/>
    <col min="4105" max="4349" width="9.140625" style="1705"/>
    <col min="4350" max="4350" width="5.7109375" style="1705" customWidth="1"/>
    <col min="4351" max="4351" width="31.140625" style="1705" customWidth="1"/>
    <col min="4352" max="4356" width="8.42578125" style="1705" customWidth="1"/>
    <col min="4357" max="4357" width="16.140625" style="1705" customWidth="1"/>
    <col min="4358" max="4358" width="17.7109375" style="1705" customWidth="1"/>
    <col min="4359" max="4359" width="13.140625" style="1705" customWidth="1"/>
    <col min="4360" max="4360" width="11.7109375" style="1705" customWidth="1"/>
    <col min="4361" max="4605" width="9.140625" style="1705"/>
    <col min="4606" max="4606" width="5.7109375" style="1705" customWidth="1"/>
    <col min="4607" max="4607" width="31.140625" style="1705" customWidth="1"/>
    <col min="4608" max="4612" width="8.42578125" style="1705" customWidth="1"/>
    <col min="4613" max="4613" width="16.140625" style="1705" customWidth="1"/>
    <col min="4614" max="4614" width="17.7109375" style="1705" customWidth="1"/>
    <col min="4615" max="4615" width="13.140625" style="1705" customWidth="1"/>
    <col min="4616" max="4616" width="11.7109375" style="1705" customWidth="1"/>
    <col min="4617" max="4861" width="9.140625" style="1705"/>
    <col min="4862" max="4862" width="5.7109375" style="1705" customWidth="1"/>
    <col min="4863" max="4863" width="31.140625" style="1705" customWidth="1"/>
    <col min="4864" max="4868" width="8.42578125" style="1705" customWidth="1"/>
    <col min="4869" max="4869" width="16.140625" style="1705" customWidth="1"/>
    <col min="4870" max="4870" width="17.7109375" style="1705" customWidth="1"/>
    <col min="4871" max="4871" width="13.140625" style="1705" customWidth="1"/>
    <col min="4872" max="4872" width="11.7109375" style="1705" customWidth="1"/>
    <col min="4873" max="5117" width="9.140625" style="1705"/>
    <col min="5118" max="5118" width="5.7109375" style="1705" customWidth="1"/>
    <col min="5119" max="5119" width="31.140625" style="1705" customWidth="1"/>
    <col min="5120" max="5124" width="8.42578125" style="1705" customWidth="1"/>
    <col min="5125" max="5125" width="16.140625" style="1705" customWidth="1"/>
    <col min="5126" max="5126" width="17.7109375" style="1705" customWidth="1"/>
    <col min="5127" max="5127" width="13.140625" style="1705" customWidth="1"/>
    <col min="5128" max="5128" width="11.7109375" style="1705" customWidth="1"/>
    <col min="5129" max="5373" width="9.140625" style="1705"/>
    <col min="5374" max="5374" width="5.7109375" style="1705" customWidth="1"/>
    <col min="5375" max="5375" width="31.140625" style="1705" customWidth="1"/>
    <col min="5376" max="5380" width="8.42578125" style="1705" customWidth="1"/>
    <col min="5381" max="5381" width="16.140625" style="1705" customWidth="1"/>
    <col min="5382" max="5382" width="17.7109375" style="1705" customWidth="1"/>
    <col min="5383" max="5383" width="13.140625" style="1705" customWidth="1"/>
    <col min="5384" max="5384" width="11.7109375" style="1705" customWidth="1"/>
    <col min="5385" max="5629" width="9.140625" style="1705"/>
    <col min="5630" max="5630" width="5.7109375" style="1705" customWidth="1"/>
    <col min="5631" max="5631" width="31.140625" style="1705" customWidth="1"/>
    <col min="5632" max="5636" width="8.42578125" style="1705" customWidth="1"/>
    <col min="5637" max="5637" width="16.140625" style="1705" customWidth="1"/>
    <col min="5638" max="5638" width="17.7109375" style="1705" customWidth="1"/>
    <col min="5639" max="5639" width="13.140625" style="1705" customWidth="1"/>
    <col min="5640" max="5640" width="11.7109375" style="1705" customWidth="1"/>
    <col min="5641" max="5885" width="9.140625" style="1705"/>
    <col min="5886" max="5886" width="5.7109375" style="1705" customWidth="1"/>
    <col min="5887" max="5887" width="31.140625" style="1705" customWidth="1"/>
    <col min="5888" max="5892" width="8.42578125" style="1705" customWidth="1"/>
    <col min="5893" max="5893" width="16.140625" style="1705" customWidth="1"/>
    <col min="5894" max="5894" width="17.7109375" style="1705" customWidth="1"/>
    <col min="5895" max="5895" width="13.140625" style="1705" customWidth="1"/>
    <col min="5896" max="5896" width="11.7109375" style="1705" customWidth="1"/>
    <col min="5897" max="6141" width="9.140625" style="1705"/>
    <col min="6142" max="6142" width="5.7109375" style="1705" customWidth="1"/>
    <col min="6143" max="6143" width="31.140625" style="1705" customWidth="1"/>
    <col min="6144" max="6148" width="8.42578125" style="1705" customWidth="1"/>
    <col min="6149" max="6149" width="16.140625" style="1705" customWidth="1"/>
    <col min="6150" max="6150" width="17.7109375" style="1705" customWidth="1"/>
    <col min="6151" max="6151" width="13.140625" style="1705" customWidth="1"/>
    <col min="6152" max="6152" width="11.7109375" style="1705" customWidth="1"/>
    <col min="6153" max="6397" width="9.140625" style="1705"/>
    <col min="6398" max="6398" width="5.7109375" style="1705" customWidth="1"/>
    <col min="6399" max="6399" width="31.140625" style="1705" customWidth="1"/>
    <col min="6400" max="6404" width="8.42578125" style="1705" customWidth="1"/>
    <col min="6405" max="6405" width="16.140625" style="1705" customWidth="1"/>
    <col min="6406" max="6406" width="17.7109375" style="1705" customWidth="1"/>
    <col min="6407" max="6407" width="13.140625" style="1705" customWidth="1"/>
    <col min="6408" max="6408" width="11.7109375" style="1705" customWidth="1"/>
    <col min="6409" max="6653" width="9.140625" style="1705"/>
    <col min="6654" max="6654" width="5.7109375" style="1705" customWidth="1"/>
    <col min="6655" max="6655" width="31.140625" style="1705" customWidth="1"/>
    <col min="6656" max="6660" width="8.42578125" style="1705" customWidth="1"/>
    <col min="6661" max="6661" width="16.140625" style="1705" customWidth="1"/>
    <col min="6662" max="6662" width="17.7109375" style="1705" customWidth="1"/>
    <col min="6663" max="6663" width="13.140625" style="1705" customWidth="1"/>
    <col min="6664" max="6664" width="11.7109375" style="1705" customWidth="1"/>
    <col min="6665" max="6909" width="9.140625" style="1705"/>
    <col min="6910" max="6910" width="5.7109375" style="1705" customWidth="1"/>
    <col min="6911" max="6911" width="31.140625" style="1705" customWidth="1"/>
    <col min="6912" max="6916" width="8.42578125" style="1705" customWidth="1"/>
    <col min="6917" max="6917" width="16.140625" style="1705" customWidth="1"/>
    <col min="6918" max="6918" width="17.7109375" style="1705" customWidth="1"/>
    <col min="6919" max="6919" width="13.140625" style="1705" customWidth="1"/>
    <col min="6920" max="6920" width="11.7109375" style="1705" customWidth="1"/>
    <col min="6921" max="7165" width="9.140625" style="1705"/>
    <col min="7166" max="7166" width="5.7109375" style="1705" customWidth="1"/>
    <col min="7167" max="7167" width="31.140625" style="1705" customWidth="1"/>
    <col min="7168" max="7172" width="8.42578125" style="1705" customWidth="1"/>
    <col min="7173" max="7173" width="16.140625" style="1705" customWidth="1"/>
    <col min="7174" max="7174" width="17.7109375" style="1705" customWidth="1"/>
    <col min="7175" max="7175" width="13.140625" style="1705" customWidth="1"/>
    <col min="7176" max="7176" width="11.7109375" style="1705" customWidth="1"/>
    <col min="7177" max="7421" width="9.140625" style="1705"/>
    <col min="7422" max="7422" width="5.7109375" style="1705" customWidth="1"/>
    <col min="7423" max="7423" width="31.140625" style="1705" customWidth="1"/>
    <col min="7424" max="7428" width="8.42578125" style="1705" customWidth="1"/>
    <col min="7429" max="7429" width="16.140625" style="1705" customWidth="1"/>
    <col min="7430" max="7430" width="17.7109375" style="1705" customWidth="1"/>
    <col min="7431" max="7431" width="13.140625" style="1705" customWidth="1"/>
    <col min="7432" max="7432" width="11.7109375" style="1705" customWidth="1"/>
    <col min="7433" max="7677" width="9.140625" style="1705"/>
    <col min="7678" max="7678" width="5.7109375" style="1705" customWidth="1"/>
    <col min="7679" max="7679" width="31.140625" style="1705" customWidth="1"/>
    <col min="7680" max="7684" width="8.42578125" style="1705" customWidth="1"/>
    <col min="7685" max="7685" width="16.140625" style="1705" customWidth="1"/>
    <col min="7686" max="7686" width="17.7109375" style="1705" customWidth="1"/>
    <col min="7687" max="7687" width="13.140625" style="1705" customWidth="1"/>
    <col min="7688" max="7688" width="11.7109375" style="1705" customWidth="1"/>
    <col min="7689" max="7933" width="9.140625" style="1705"/>
    <col min="7934" max="7934" width="5.7109375" style="1705" customWidth="1"/>
    <col min="7935" max="7935" width="31.140625" style="1705" customWidth="1"/>
    <col min="7936" max="7940" width="8.42578125" style="1705" customWidth="1"/>
    <col min="7941" max="7941" width="16.140625" style="1705" customWidth="1"/>
    <col min="7942" max="7942" width="17.7109375" style="1705" customWidth="1"/>
    <col min="7943" max="7943" width="13.140625" style="1705" customWidth="1"/>
    <col min="7944" max="7944" width="11.7109375" style="1705" customWidth="1"/>
    <col min="7945" max="8189" width="9.140625" style="1705"/>
    <col min="8190" max="8190" width="5.7109375" style="1705" customWidth="1"/>
    <col min="8191" max="8191" width="31.140625" style="1705" customWidth="1"/>
    <col min="8192" max="8196" width="8.42578125" style="1705" customWidth="1"/>
    <col min="8197" max="8197" width="16.140625" style="1705" customWidth="1"/>
    <col min="8198" max="8198" width="17.7109375" style="1705" customWidth="1"/>
    <col min="8199" max="8199" width="13.140625" style="1705" customWidth="1"/>
    <col min="8200" max="8200" width="11.7109375" style="1705" customWidth="1"/>
    <col min="8201" max="8445" width="9.140625" style="1705"/>
    <col min="8446" max="8446" width="5.7109375" style="1705" customWidth="1"/>
    <col min="8447" max="8447" width="31.140625" style="1705" customWidth="1"/>
    <col min="8448" max="8452" width="8.42578125" style="1705" customWidth="1"/>
    <col min="8453" max="8453" width="16.140625" style="1705" customWidth="1"/>
    <col min="8454" max="8454" width="17.7109375" style="1705" customWidth="1"/>
    <col min="8455" max="8455" width="13.140625" style="1705" customWidth="1"/>
    <col min="8456" max="8456" width="11.7109375" style="1705" customWidth="1"/>
    <col min="8457" max="8701" width="9.140625" style="1705"/>
    <col min="8702" max="8702" width="5.7109375" style="1705" customWidth="1"/>
    <col min="8703" max="8703" width="31.140625" style="1705" customWidth="1"/>
    <col min="8704" max="8708" width="8.42578125" style="1705" customWidth="1"/>
    <col min="8709" max="8709" width="16.140625" style="1705" customWidth="1"/>
    <col min="8710" max="8710" width="17.7109375" style="1705" customWidth="1"/>
    <col min="8711" max="8711" width="13.140625" style="1705" customWidth="1"/>
    <col min="8712" max="8712" width="11.7109375" style="1705" customWidth="1"/>
    <col min="8713" max="8957" width="9.140625" style="1705"/>
    <col min="8958" max="8958" width="5.7109375" style="1705" customWidth="1"/>
    <col min="8959" max="8959" width="31.140625" style="1705" customWidth="1"/>
    <col min="8960" max="8964" width="8.42578125" style="1705" customWidth="1"/>
    <col min="8965" max="8965" width="16.140625" style="1705" customWidth="1"/>
    <col min="8966" max="8966" width="17.7109375" style="1705" customWidth="1"/>
    <col min="8967" max="8967" width="13.140625" style="1705" customWidth="1"/>
    <col min="8968" max="8968" width="11.7109375" style="1705" customWidth="1"/>
    <col min="8969" max="9213" width="9.140625" style="1705"/>
    <col min="9214" max="9214" width="5.7109375" style="1705" customWidth="1"/>
    <col min="9215" max="9215" width="31.140625" style="1705" customWidth="1"/>
    <col min="9216" max="9220" width="8.42578125" style="1705" customWidth="1"/>
    <col min="9221" max="9221" width="16.140625" style="1705" customWidth="1"/>
    <col min="9222" max="9222" width="17.7109375" style="1705" customWidth="1"/>
    <col min="9223" max="9223" width="13.140625" style="1705" customWidth="1"/>
    <col min="9224" max="9224" width="11.7109375" style="1705" customWidth="1"/>
    <col min="9225" max="9469" width="9.140625" style="1705"/>
    <col min="9470" max="9470" width="5.7109375" style="1705" customWidth="1"/>
    <col min="9471" max="9471" width="31.140625" style="1705" customWidth="1"/>
    <col min="9472" max="9476" width="8.42578125" style="1705" customWidth="1"/>
    <col min="9477" max="9477" width="16.140625" style="1705" customWidth="1"/>
    <col min="9478" max="9478" width="17.7109375" style="1705" customWidth="1"/>
    <col min="9479" max="9479" width="13.140625" style="1705" customWidth="1"/>
    <col min="9480" max="9480" width="11.7109375" style="1705" customWidth="1"/>
    <col min="9481" max="9725" width="9.140625" style="1705"/>
    <col min="9726" max="9726" width="5.7109375" style="1705" customWidth="1"/>
    <col min="9727" max="9727" width="31.140625" style="1705" customWidth="1"/>
    <col min="9728" max="9732" width="8.42578125" style="1705" customWidth="1"/>
    <col min="9733" max="9733" width="16.140625" style="1705" customWidth="1"/>
    <col min="9734" max="9734" width="17.7109375" style="1705" customWidth="1"/>
    <col min="9735" max="9735" width="13.140625" style="1705" customWidth="1"/>
    <col min="9736" max="9736" width="11.7109375" style="1705" customWidth="1"/>
    <col min="9737" max="9981" width="9.140625" style="1705"/>
    <col min="9982" max="9982" width="5.7109375" style="1705" customWidth="1"/>
    <col min="9983" max="9983" width="31.140625" style="1705" customWidth="1"/>
    <col min="9984" max="9988" width="8.42578125" style="1705" customWidth="1"/>
    <col min="9989" max="9989" width="16.140625" style="1705" customWidth="1"/>
    <col min="9990" max="9990" width="17.7109375" style="1705" customWidth="1"/>
    <col min="9991" max="9991" width="13.140625" style="1705" customWidth="1"/>
    <col min="9992" max="9992" width="11.7109375" style="1705" customWidth="1"/>
    <col min="9993" max="10237" width="9.140625" style="1705"/>
    <col min="10238" max="10238" width="5.7109375" style="1705" customWidth="1"/>
    <col min="10239" max="10239" width="31.140625" style="1705" customWidth="1"/>
    <col min="10240" max="10244" width="8.42578125" style="1705" customWidth="1"/>
    <col min="10245" max="10245" width="16.140625" style="1705" customWidth="1"/>
    <col min="10246" max="10246" width="17.7109375" style="1705" customWidth="1"/>
    <col min="10247" max="10247" width="13.140625" style="1705" customWidth="1"/>
    <col min="10248" max="10248" width="11.7109375" style="1705" customWidth="1"/>
    <col min="10249" max="10493" width="9.140625" style="1705"/>
    <col min="10494" max="10494" width="5.7109375" style="1705" customWidth="1"/>
    <col min="10495" max="10495" width="31.140625" style="1705" customWidth="1"/>
    <col min="10496" max="10500" width="8.42578125" style="1705" customWidth="1"/>
    <col min="10501" max="10501" width="16.140625" style="1705" customWidth="1"/>
    <col min="10502" max="10502" width="17.7109375" style="1705" customWidth="1"/>
    <col min="10503" max="10503" width="13.140625" style="1705" customWidth="1"/>
    <col min="10504" max="10504" width="11.7109375" style="1705" customWidth="1"/>
    <col min="10505" max="10749" width="9.140625" style="1705"/>
    <col min="10750" max="10750" width="5.7109375" style="1705" customWidth="1"/>
    <col min="10751" max="10751" width="31.140625" style="1705" customWidth="1"/>
    <col min="10752" max="10756" width="8.42578125" style="1705" customWidth="1"/>
    <col min="10757" max="10757" width="16.140625" style="1705" customWidth="1"/>
    <col min="10758" max="10758" width="17.7109375" style="1705" customWidth="1"/>
    <col min="10759" max="10759" width="13.140625" style="1705" customWidth="1"/>
    <col min="10760" max="10760" width="11.7109375" style="1705" customWidth="1"/>
    <col min="10761" max="11005" width="9.140625" style="1705"/>
    <col min="11006" max="11006" width="5.7109375" style="1705" customWidth="1"/>
    <col min="11007" max="11007" width="31.140625" style="1705" customWidth="1"/>
    <col min="11008" max="11012" width="8.42578125" style="1705" customWidth="1"/>
    <col min="11013" max="11013" width="16.140625" style="1705" customWidth="1"/>
    <col min="11014" max="11014" width="17.7109375" style="1705" customWidth="1"/>
    <col min="11015" max="11015" width="13.140625" style="1705" customWidth="1"/>
    <col min="11016" max="11016" width="11.7109375" style="1705" customWidth="1"/>
    <col min="11017" max="11261" width="9.140625" style="1705"/>
    <col min="11262" max="11262" width="5.7109375" style="1705" customWidth="1"/>
    <col min="11263" max="11263" width="31.140625" style="1705" customWidth="1"/>
    <col min="11264" max="11268" width="8.42578125" style="1705" customWidth="1"/>
    <col min="11269" max="11269" width="16.140625" style="1705" customWidth="1"/>
    <col min="11270" max="11270" width="17.7109375" style="1705" customWidth="1"/>
    <col min="11271" max="11271" width="13.140625" style="1705" customWidth="1"/>
    <col min="11272" max="11272" width="11.7109375" style="1705" customWidth="1"/>
    <col min="11273" max="11517" width="9.140625" style="1705"/>
    <col min="11518" max="11518" width="5.7109375" style="1705" customWidth="1"/>
    <col min="11519" max="11519" width="31.140625" style="1705" customWidth="1"/>
    <col min="11520" max="11524" width="8.42578125" style="1705" customWidth="1"/>
    <col min="11525" max="11525" width="16.140625" style="1705" customWidth="1"/>
    <col min="11526" max="11526" width="17.7109375" style="1705" customWidth="1"/>
    <col min="11527" max="11527" width="13.140625" style="1705" customWidth="1"/>
    <col min="11528" max="11528" width="11.7109375" style="1705" customWidth="1"/>
    <col min="11529" max="11773" width="9.140625" style="1705"/>
    <col min="11774" max="11774" width="5.7109375" style="1705" customWidth="1"/>
    <col min="11775" max="11775" width="31.140625" style="1705" customWidth="1"/>
    <col min="11776" max="11780" width="8.42578125" style="1705" customWidth="1"/>
    <col min="11781" max="11781" width="16.140625" style="1705" customWidth="1"/>
    <col min="11782" max="11782" width="17.7109375" style="1705" customWidth="1"/>
    <col min="11783" max="11783" width="13.140625" style="1705" customWidth="1"/>
    <col min="11784" max="11784" width="11.7109375" style="1705" customWidth="1"/>
    <col min="11785" max="12029" width="9.140625" style="1705"/>
    <col min="12030" max="12030" width="5.7109375" style="1705" customWidth="1"/>
    <col min="12031" max="12031" width="31.140625" style="1705" customWidth="1"/>
    <col min="12032" max="12036" width="8.42578125" style="1705" customWidth="1"/>
    <col min="12037" max="12037" width="16.140625" style="1705" customWidth="1"/>
    <col min="12038" max="12038" width="17.7109375" style="1705" customWidth="1"/>
    <col min="12039" max="12039" width="13.140625" style="1705" customWidth="1"/>
    <col min="12040" max="12040" width="11.7109375" style="1705" customWidth="1"/>
    <col min="12041" max="12285" width="9.140625" style="1705"/>
    <col min="12286" max="12286" width="5.7109375" style="1705" customWidth="1"/>
    <col min="12287" max="12287" width="31.140625" style="1705" customWidth="1"/>
    <col min="12288" max="12292" width="8.42578125" style="1705" customWidth="1"/>
    <col min="12293" max="12293" width="16.140625" style="1705" customWidth="1"/>
    <col min="12294" max="12294" width="17.7109375" style="1705" customWidth="1"/>
    <col min="12295" max="12295" width="13.140625" style="1705" customWidth="1"/>
    <col min="12296" max="12296" width="11.7109375" style="1705" customWidth="1"/>
    <col min="12297" max="12541" width="9.140625" style="1705"/>
    <col min="12542" max="12542" width="5.7109375" style="1705" customWidth="1"/>
    <col min="12543" max="12543" width="31.140625" style="1705" customWidth="1"/>
    <col min="12544" max="12548" width="8.42578125" style="1705" customWidth="1"/>
    <col min="12549" max="12549" width="16.140625" style="1705" customWidth="1"/>
    <col min="12550" max="12550" width="17.7109375" style="1705" customWidth="1"/>
    <col min="12551" max="12551" width="13.140625" style="1705" customWidth="1"/>
    <col min="12552" max="12552" width="11.7109375" style="1705" customWidth="1"/>
    <col min="12553" max="12797" width="9.140625" style="1705"/>
    <col min="12798" max="12798" width="5.7109375" style="1705" customWidth="1"/>
    <col min="12799" max="12799" width="31.140625" style="1705" customWidth="1"/>
    <col min="12800" max="12804" width="8.42578125" style="1705" customWidth="1"/>
    <col min="12805" max="12805" width="16.140625" style="1705" customWidth="1"/>
    <col min="12806" max="12806" width="17.7109375" style="1705" customWidth="1"/>
    <col min="12807" max="12807" width="13.140625" style="1705" customWidth="1"/>
    <col min="12808" max="12808" width="11.7109375" style="1705" customWidth="1"/>
    <col min="12809" max="13053" width="9.140625" style="1705"/>
    <col min="13054" max="13054" width="5.7109375" style="1705" customWidth="1"/>
    <col min="13055" max="13055" width="31.140625" style="1705" customWidth="1"/>
    <col min="13056" max="13060" width="8.42578125" style="1705" customWidth="1"/>
    <col min="13061" max="13061" width="16.140625" style="1705" customWidth="1"/>
    <col min="13062" max="13062" width="17.7109375" style="1705" customWidth="1"/>
    <col min="13063" max="13063" width="13.140625" style="1705" customWidth="1"/>
    <col min="13064" max="13064" width="11.7109375" style="1705" customWidth="1"/>
    <col min="13065" max="13309" width="9.140625" style="1705"/>
    <col min="13310" max="13310" width="5.7109375" style="1705" customWidth="1"/>
    <col min="13311" max="13311" width="31.140625" style="1705" customWidth="1"/>
    <col min="13312" max="13316" width="8.42578125" style="1705" customWidth="1"/>
    <col min="13317" max="13317" width="16.140625" style="1705" customWidth="1"/>
    <col min="13318" max="13318" width="17.7109375" style="1705" customWidth="1"/>
    <col min="13319" max="13319" width="13.140625" style="1705" customWidth="1"/>
    <col min="13320" max="13320" width="11.7109375" style="1705" customWidth="1"/>
    <col min="13321" max="13565" width="9.140625" style="1705"/>
    <col min="13566" max="13566" width="5.7109375" style="1705" customWidth="1"/>
    <col min="13567" max="13567" width="31.140625" style="1705" customWidth="1"/>
    <col min="13568" max="13572" width="8.42578125" style="1705" customWidth="1"/>
    <col min="13573" max="13573" width="16.140625" style="1705" customWidth="1"/>
    <col min="13574" max="13574" width="17.7109375" style="1705" customWidth="1"/>
    <col min="13575" max="13575" width="13.140625" style="1705" customWidth="1"/>
    <col min="13576" max="13576" width="11.7109375" style="1705" customWidth="1"/>
    <col min="13577" max="13821" width="9.140625" style="1705"/>
    <col min="13822" max="13822" width="5.7109375" style="1705" customWidth="1"/>
    <col min="13823" max="13823" width="31.140625" style="1705" customWidth="1"/>
    <col min="13824" max="13828" width="8.42578125" style="1705" customWidth="1"/>
    <col min="13829" max="13829" width="16.140625" style="1705" customWidth="1"/>
    <col min="13830" max="13830" width="17.7109375" style="1705" customWidth="1"/>
    <col min="13831" max="13831" width="13.140625" style="1705" customWidth="1"/>
    <col min="13832" max="13832" width="11.7109375" style="1705" customWidth="1"/>
    <col min="13833" max="14077" width="9.140625" style="1705"/>
    <col min="14078" max="14078" width="5.7109375" style="1705" customWidth="1"/>
    <col min="14079" max="14079" width="31.140625" style="1705" customWidth="1"/>
    <col min="14080" max="14084" width="8.42578125" style="1705" customWidth="1"/>
    <col min="14085" max="14085" width="16.140625" style="1705" customWidth="1"/>
    <col min="14086" max="14086" width="17.7109375" style="1705" customWidth="1"/>
    <col min="14087" max="14087" width="13.140625" style="1705" customWidth="1"/>
    <col min="14088" max="14088" width="11.7109375" style="1705" customWidth="1"/>
    <col min="14089" max="14333" width="9.140625" style="1705"/>
    <col min="14334" max="14334" width="5.7109375" style="1705" customWidth="1"/>
    <col min="14335" max="14335" width="31.140625" style="1705" customWidth="1"/>
    <col min="14336" max="14340" width="8.42578125" style="1705" customWidth="1"/>
    <col min="14341" max="14341" width="16.140625" style="1705" customWidth="1"/>
    <col min="14342" max="14342" width="17.7109375" style="1705" customWidth="1"/>
    <col min="14343" max="14343" width="13.140625" style="1705" customWidth="1"/>
    <col min="14344" max="14344" width="11.7109375" style="1705" customWidth="1"/>
    <col min="14345" max="14589" width="9.140625" style="1705"/>
    <col min="14590" max="14590" width="5.7109375" style="1705" customWidth="1"/>
    <col min="14591" max="14591" width="31.140625" style="1705" customWidth="1"/>
    <col min="14592" max="14596" width="8.42578125" style="1705" customWidth="1"/>
    <col min="14597" max="14597" width="16.140625" style="1705" customWidth="1"/>
    <col min="14598" max="14598" width="17.7109375" style="1705" customWidth="1"/>
    <col min="14599" max="14599" width="13.140625" style="1705" customWidth="1"/>
    <col min="14600" max="14600" width="11.7109375" style="1705" customWidth="1"/>
    <col min="14601" max="14845" width="9.140625" style="1705"/>
    <col min="14846" max="14846" width="5.7109375" style="1705" customWidth="1"/>
    <col min="14847" max="14847" width="31.140625" style="1705" customWidth="1"/>
    <col min="14848" max="14852" width="8.42578125" style="1705" customWidth="1"/>
    <col min="14853" max="14853" width="16.140625" style="1705" customWidth="1"/>
    <col min="14854" max="14854" width="17.7109375" style="1705" customWidth="1"/>
    <col min="14855" max="14855" width="13.140625" style="1705" customWidth="1"/>
    <col min="14856" max="14856" width="11.7109375" style="1705" customWidth="1"/>
    <col min="14857" max="15101" width="9.140625" style="1705"/>
    <col min="15102" max="15102" width="5.7109375" style="1705" customWidth="1"/>
    <col min="15103" max="15103" width="31.140625" style="1705" customWidth="1"/>
    <col min="15104" max="15108" width="8.42578125" style="1705" customWidth="1"/>
    <col min="15109" max="15109" width="16.140625" style="1705" customWidth="1"/>
    <col min="15110" max="15110" width="17.7109375" style="1705" customWidth="1"/>
    <col min="15111" max="15111" width="13.140625" style="1705" customWidth="1"/>
    <col min="15112" max="15112" width="11.7109375" style="1705" customWidth="1"/>
    <col min="15113" max="15357" width="9.140625" style="1705"/>
    <col min="15358" max="15358" width="5.7109375" style="1705" customWidth="1"/>
    <col min="15359" max="15359" width="31.140625" style="1705" customWidth="1"/>
    <col min="15360" max="15364" width="8.42578125" style="1705" customWidth="1"/>
    <col min="15365" max="15365" width="16.140625" style="1705" customWidth="1"/>
    <col min="15366" max="15366" width="17.7109375" style="1705" customWidth="1"/>
    <col min="15367" max="15367" width="13.140625" style="1705" customWidth="1"/>
    <col min="15368" max="15368" width="11.7109375" style="1705" customWidth="1"/>
    <col min="15369" max="15613" width="9.140625" style="1705"/>
    <col min="15614" max="15614" width="5.7109375" style="1705" customWidth="1"/>
    <col min="15615" max="15615" width="31.140625" style="1705" customWidth="1"/>
    <col min="15616" max="15620" width="8.42578125" style="1705" customWidth="1"/>
    <col min="15621" max="15621" width="16.140625" style="1705" customWidth="1"/>
    <col min="15622" max="15622" width="17.7109375" style="1705" customWidth="1"/>
    <col min="15623" max="15623" width="13.140625" style="1705" customWidth="1"/>
    <col min="15624" max="15624" width="11.7109375" style="1705" customWidth="1"/>
    <col min="15625" max="15869" width="9.140625" style="1705"/>
    <col min="15870" max="15870" width="5.7109375" style="1705" customWidth="1"/>
    <col min="15871" max="15871" width="31.140625" style="1705" customWidth="1"/>
    <col min="15872" max="15876" width="8.42578125" style="1705" customWidth="1"/>
    <col min="15877" max="15877" width="16.140625" style="1705" customWidth="1"/>
    <col min="15878" max="15878" width="17.7109375" style="1705" customWidth="1"/>
    <col min="15879" max="15879" width="13.140625" style="1705" customWidth="1"/>
    <col min="15880" max="15880" width="11.7109375" style="1705" customWidth="1"/>
    <col min="15881" max="16125" width="9.140625" style="1705"/>
    <col min="16126" max="16126" width="5.7109375" style="1705" customWidth="1"/>
    <col min="16127" max="16127" width="31.140625" style="1705" customWidth="1"/>
    <col min="16128" max="16132" width="8.42578125" style="1705" customWidth="1"/>
    <col min="16133" max="16133" width="16.140625" style="1705" customWidth="1"/>
    <col min="16134" max="16134" width="17.7109375" style="1705" customWidth="1"/>
    <col min="16135" max="16135" width="13.140625" style="1705" customWidth="1"/>
    <col min="16136" max="16136" width="11.7109375" style="1705" customWidth="1"/>
    <col min="16137" max="16384" width="9.140625" style="1705"/>
  </cols>
  <sheetData>
    <row r="1" spans="1:13" ht="24.75" customHeight="1" x14ac:dyDescent="0.25">
      <c r="A1" s="3284" t="str">
        <f>'63_TT342'!A1:D1</f>
        <v>PHÒNG KINH TẾ, HẠ TẦNG VÀ ĐÔ THỊ</v>
      </c>
      <c r="B1" s="3284"/>
      <c r="C1" s="3284"/>
      <c r="E1" s="1704"/>
      <c r="F1" s="1704"/>
      <c r="G1" s="3278" t="s">
        <v>1042</v>
      </c>
      <c r="H1" s="3278"/>
    </row>
    <row r="2" spans="1:13" ht="22.5" customHeight="1" x14ac:dyDescent="0.25">
      <c r="A2" s="3278" t="s">
        <v>1590</v>
      </c>
      <c r="B2" s="3278"/>
      <c r="C2" s="3278"/>
      <c r="D2" s="3278"/>
      <c r="E2" s="3278"/>
      <c r="F2" s="3278"/>
      <c r="G2" s="3278"/>
      <c r="H2" s="3278"/>
    </row>
    <row r="3" spans="1:13" ht="18" customHeight="1" x14ac:dyDescent="0.25">
      <c r="A3" s="3293" t="str">
        <f>'[7]64-342-PL19'!A4</f>
        <v>(Kèm theo Báo cáo số:  125 /BC-UBND ngày 23/3/2026 của UBND xã Cao Minh)</v>
      </c>
      <c r="B3" s="3293"/>
      <c r="C3" s="3293"/>
      <c r="D3" s="3293"/>
      <c r="E3" s="3293"/>
      <c r="F3" s="3293"/>
      <c r="G3" s="3293"/>
    </row>
    <row r="4" spans="1:13" ht="15.75" customHeight="1" x14ac:dyDescent="0.25">
      <c r="C4" s="1707"/>
      <c r="D4" s="1707"/>
      <c r="E4" s="1707"/>
      <c r="F4" s="1707"/>
      <c r="G4" s="3291" t="s">
        <v>1717</v>
      </c>
      <c r="H4" s="3291"/>
    </row>
    <row r="5" spans="1:13" ht="47.25" x14ac:dyDescent="0.25">
      <c r="A5" s="1708" t="s">
        <v>0</v>
      </c>
      <c r="B5" s="1708" t="s">
        <v>1644</v>
      </c>
      <c r="C5" s="1708" t="s">
        <v>1645</v>
      </c>
      <c r="D5" s="1708" t="s">
        <v>142</v>
      </c>
      <c r="E5" s="1708" t="s">
        <v>1591</v>
      </c>
      <c r="F5" s="1708" t="s">
        <v>147</v>
      </c>
      <c r="G5" s="1708" t="s">
        <v>143</v>
      </c>
      <c r="H5" s="1709" t="s">
        <v>592</v>
      </c>
    </row>
    <row r="6" spans="1:13" x14ac:dyDescent="0.25">
      <c r="A6" s="1710">
        <v>1</v>
      </c>
      <c r="B6" s="1710">
        <v>2</v>
      </c>
      <c r="C6" s="1711">
        <v>3</v>
      </c>
      <c r="D6" s="1710">
        <v>4</v>
      </c>
      <c r="E6" s="1710">
        <v>5</v>
      </c>
      <c r="F6" s="1710">
        <v>6</v>
      </c>
      <c r="G6" s="1710">
        <v>7</v>
      </c>
      <c r="H6" s="1712">
        <v>8</v>
      </c>
    </row>
    <row r="7" spans="1:13" ht="25.5" customHeight="1" x14ac:dyDescent="0.25">
      <c r="A7" s="1715" t="s">
        <v>1646</v>
      </c>
      <c r="B7" s="1715" t="s">
        <v>1646</v>
      </c>
      <c r="C7" s="1716" t="s">
        <v>572</v>
      </c>
      <c r="D7" s="1715" t="s">
        <v>1646</v>
      </c>
      <c r="E7" s="1715" t="s">
        <v>1646</v>
      </c>
      <c r="F7" s="1715" t="s">
        <v>1646</v>
      </c>
      <c r="G7" s="1715" t="s">
        <v>1646</v>
      </c>
      <c r="H7" s="1717">
        <v>2203348</v>
      </c>
      <c r="J7" s="1734">
        <f>SUM(J11,J15,J17,J18)</f>
        <v>2084697</v>
      </c>
      <c r="K7" s="1734">
        <f>H7-J7</f>
        <v>118651</v>
      </c>
      <c r="M7" s="1757">
        <v>2203347991</v>
      </c>
    </row>
    <row r="8" spans="1:13" ht="58.5" customHeight="1" x14ac:dyDescent="0.25">
      <c r="A8" s="1718" t="s">
        <v>1448</v>
      </c>
      <c r="B8" s="1718" t="s">
        <v>1647</v>
      </c>
      <c r="C8" s="1708" t="s">
        <v>1648</v>
      </c>
      <c r="D8" s="1715" t="s">
        <v>1646</v>
      </c>
      <c r="E8" s="1715" t="s">
        <v>1646</v>
      </c>
      <c r="F8" s="1715" t="s">
        <v>1646</v>
      </c>
      <c r="G8" s="1715" t="s">
        <v>1646</v>
      </c>
      <c r="H8" s="1717">
        <v>723504</v>
      </c>
      <c r="K8" s="1705" t="s">
        <v>1914</v>
      </c>
      <c r="L8" s="1705" t="s">
        <v>1650</v>
      </c>
      <c r="M8" s="1734">
        <v>457193300</v>
      </c>
    </row>
    <row r="9" spans="1:13" ht="47.25" x14ac:dyDescent="0.25">
      <c r="A9" s="1715" t="s">
        <v>1646</v>
      </c>
      <c r="B9" s="1715" t="s">
        <v>1649</v>
      </c>
      <c r="C9" s="1716" t="s">
        <v>1641</v>
      </c>
      <c r="D9" s="1715" t="s">
        <v>1646</v>
      </c>
      <c r="E9" s="1715" t="s">
        <v>1646</v>
      </c>
      <c r="F9" s="1715" t="s">
        <v>1646</v>
      </c>
      <c r="G9" s="1715" t="s">
        <v>1646</v>
      </c>
      <c r="H9" s="1719">
        <v>301980</v>
      </c>
      <c r="K9" s="1705" t="s">
        <v>1913</v>
      </c>
      <c r="L9" s="1705" t="s">
        <v>1600</v>
      </c>
      <c r="M9" s="1734">
        <v>1473803171</v>
      </c>
    </row>
    <row r="10" spans="1:13" x14ac:dyDescent="0.25">
      <c r="A10" s="1715" t="s">
        <v>1646</v>
      </c>
      <c r="B10" s="1715" t="s">
        <v>1646</v>
      </c>
      <c r="C10" s="1716" t="s">
        <v>1646</v>
      </c>
      <c r="D10" s="1715" t="s">
        <v>1592</v>
      </c>
      <c r="E10" s="1715" t="s">
        <v>1646</v>
      </c>
      <c r="F10" s="1715" t="s">
        <v>1646</v>
      </c>
      <c r="G10" s="1715" t="s">
        <v>1646</v>
      </c>
      <c r="H10" s="1719">
        <v>301980</v>
      </c>
      <c r="K10" s="1705" t="s">
        <v>1915</v>
      </c>
      <c r="L10" s="1705" t="s">
        <v>1629</v>
      </c>
      <c r="M10" s="1734">
        <v>118651520</v>
      </c>
    </row>
    <row r="11" spans="1:13" x14ac:dyDescent="0.25">
      <c r="A11" s="1715" t="s">
        <v>1646</v>
      </c>
      <c r="B11" s="1715" t="s">
        <v>1646</v>
      </c>
      <c r="C11" s="1716" t="s">
        <v>1646</v>
      </c>
      <c r="D11" s="1715" t="s">
        <v>1592</v>
      </c>
      <c r="E11" s="1715" t="s">
        <v>1600</v>
      </c>
      <c r="F11" s="1715" t="s">
        <v>1646</v>
      </c>
      <c r="G11" s="1715" t="s">
        <v>1646</v>
      </c>
      <c r="H11" s="1746">
        <v>266700</v>
      </c>
      <c r="I11" s="1705" t="s">
        <v>1913</v>
      </c>
      <c r="J11" s="1734">
        <f>H11+H21+H66+H90+H98+H121+H180</f>
        <v>1473803</v>
      </c>
      <c r="K11" s="1705" t="s">
        <v>1916</v>
      </c>
      <c r="L11" s="1705" t="s">
        <v>1691</v>
      </c>
      <c r="M11" s="1734">
        <v>14610000</v>
      </c>
    </row>
    <row r="12" spans="1:13" x14ac:dyDescent="0.25">
      <c r="A12" s="1715" t="s">
        <v>1646</v>
      </c>
      <c r="B12" s="1715" t="s">
        <v>1646</v>
      </c>
      <c r="C12" s="1716" t="s">
        <v>1646</v>
      </c>
      <c r="D12" s="1715" t="s">
        <v>1592</v>
      </c>
      <c r="E12" s="1715" t="s">
        <v>1600</v>
      </c>
      <c r="F12" s="1715" t="s">
        <v>1617</v>
      </c>
      <c r="G12" s="1715" t="s">
        <v>1646</v>
      </c>
      <c r="H12" s="1719">
        <v>266700</v>
      </c>
      <c r="K12" s="1705" t="s">
        <v>1917</v>
      </c>
      <c r="L12" s="1705" t="s">
        <v>1715</v>
      </c>
      <c r="M12" s="1734">
        <v>139090000</v>
      </c>
    </row>
    <row r="13" spans="1:13" x14ac:dyDescent="0.25">
      <c r="A13" s="1715" t="s">
        <v>1646</v>
      </c>
      <c r="B13" s="1715" t="s">
        <v>1646</v>
      </c>
      <c r="C13" s="1716" t="s">
        <v>1646</v>
      </c>
      <c r="D13" s="1715" t="s">
        <v>1592</v>
      </c>
      <c r="E13" s="1715" t="s">
        <v>1600</v>
      </c>
      <c r="F13" s="1715" t="s">
        <v>1617</v>
      </c>
      <c r="G13" s="1715" t="s">
        <v>1618</v>
      </c>
      <c r="H13" s="1719">
        <v>266700</v>
      </c>
    </row>
    <row r="14" spans="1:13" x14ac:dyDescent="0.25">
      <c r="A14" s="1715" t="s">
        <v>1646</v>
      </c>
      <c r="B14" s="1715" t="s">
        <v>1646</v>
      </c>
      <c r="C14" s="1716" t="s">
        <v>1646</v>
      </c>
      <c r="D14" s="1715" t="s">
        <v>1592</v>
      </c>
      <c r="E14" s="1715" t="s">
        <v>1600</v>
      </c>
      <c r="F14" s="1715" t="s">
        <v>1617</v>
      </c>
      <c r="G14" s="1715" t="s">
        <v>1618</v>
      </c>
      <c r="H14" s="1719">
        <v>266700</v>
      </c>
    </row>
    <row r="15" spans="1:13" x14ac:dyDescent="0.25">
      <c r="A15" s="1715" t="s">
        <v>1646</v>
      </c>
      <c r="B15" s="1715" t="s">
        <v>1646</v>
      </c>
      <c r="C15" s="1716" t="s">
        <v>1646</v>
      </c>
      <c r="D15" s="1715" t="s">
        <v>1592</v>
      </c>
      <c r="E15" s="1715" t="s">
        <v>1642</v>
      </c>
      <c r="F15" s="1715" t="s">
        <v>1646</v>
      </c>
      <c r="G15" s="1715" t="s">
        <v>1646</v>
      </c>
      <c r="H15" s="1746">
        <v>35280</v>
      </c>
      <c r="I15" s="1705" t="s">
        <v>1914</v>
      </c>
      <c r="J15" s="1734">
        <f>H15+H45+H83+H113+H151+H173</f>
        <v>457193</v>
      </c>
    </row>
    <row r="16" spans="1:13" x14ac:dyDescent="0.25">
      <c r="A16" s="1715" t="s">
        <v>1646</v>
      </c>
      <c r="B16" s="1715" t="s">
        <v>1646</v>
      </c>
      <c r="C16" s="1716" t="s">
        <v>1646</v>
      </c>
      <c r="D16" s="1715" t="s">
        <v>1592</v>
      </c>
      <c r="E16" s="1715" t="s">
        <v>1642</v>
      </c>
      <c r="F16" s="1715" t="s">
        <v>1650</v>
      </c>
      <c r="G16" s="1715" t="s">
        <v>1646</v>
      </c>
      <c r="H16" s="1719">
        <v>35280</v>
      </c>
    </row>
    <row r="17" spans="1:10" x14ac:dyDescent="0.25">
      <c r="A17" s="1715" t="s">
        <v>1646</v>
      </c>
      <c r="B17" s="1715" t="s">
        <v>1646</v>
      </c>
      <c r="C17" s="1716" t="s">
        <v>1646</v>
      </c>
      <c r="D17" s="1715" t="s">
        <v>1592</v>
      </c>
      <c r="E17" s="1715" t="s">
        <v>1642</v>
      </c>
      <c r="F17" s="1715" t="s">
        <v>1650</v>
      </c>
      <c r="G17" s="1715" t="s">
        <v>1615</v>
      </c>
      <c r="H17" s="1719">
        <v>35280</v>
      </c>
      <c r="I17" s="1705" t="s">
        <v>1916</v>
      </c>
      <c r="J17" s="1734">
        <f>H138+H161</f>
        <v>14611</v>
      </c>
    </row>
    <row r="18" spans="1:10" x14ac:dyDescent="0.25">
      <c r="A18" s="1715" t="s">
        <v>1646</v>
      </c>
      <c r="B18" s="1715" t="s">
        <v>1646</v>
      </c>
      <c r="C18" s="1716" t="s">
        <v>1646</v>
      </c>
      <c r="D18" s="1715" t="s">
        <v>1592</v>
      </c>
      <c r="E18" s="1715" t="s">
        <v>1642</v>
      </c>
      <c r="F18" s="1715" t="s">
        <v>1650</v>
      </c>
      <c r="G18" s="1715" t="s">
        <v>1615</v>
      </c>
      <c r="H18" s="1719">
        <v>35280</v>
      </c>
      <c r="I18" s="1705" t="s">
        <v>1917</v>
      </c>
      <c r="J18" s="1734">
        <f>H192</f>
        <v>139090</v>
      </c>
    </row>
    <row r="19" spans="1:10" ht="47.25" x14ac:dyDescent="0.25">
      <c r="A19" s="1715" t="s">
        <v>1646</v>
      </c>
      <c r="B19" s="1715" t="s">
        <v>1651</v>
      </c>
      <c r="C19" s="1716" t="s">
        <v>1643</v>
      </c>
      <c r="D19" s="1715" t="s">
        <v>1646</v>
      </c>
      <c r="E19" s="1715" t="s">
        <v>1646</v>
      </c>
      <c r="F19" s="1715" t="s">
        <v>1646</v>
      </c>
      <c r="G19" s="1715" t="s">
        <v>1646</v>
      </c>
      <c r="H19" s="1719">
        <v>141428</v>
      </c>
      <c r="I19" s="1705" t="s">
        <v>1915</v>
      </c>
      <c r="J19" s="1734">
        <f>H34+H75+H145+H167</f>
        <v>118652</v>
      </c>
    </row>
    <row r="20" spans="1:10" x14ac:dyDescent="0.25">
      <c r="A20" s="1715" t="s">
        <v>1646</v>
      </c>
      <c r="B20" s="1715" t="s">
        <v>1646</v>
      </c>
      <c r="C20" s="1716" t="s">
        <v>1646</v>
      </c>
      <c r="D20" s="1715" t="s">
        <v>1592</v>
      </c>
      <c r="E20" s="1715" t="s">
        <v>1646</v>
      </c>
      <c r="F20" s="1715" t="s">
        <v>1646</v>
      </c>
      <c r="G20" s="1715" t="s">
        <v>1646</v>
      </c>
      <c r="H20" s="1719">
        <v>141428</v>
      </c>
    </row>
    <row r="21" spans="1:10" x14ac:dyDescent="0.25">
      <c r="A21" s="1715" t="s">
        <v>1646</v>
      </c>
      <c r="B21" s="1715" t="s">
        <v>1646</v>
      </c>
      <c r="C21" s="1716" t="s">
        <v>1646</v>
      </c>
      <c r="D21" s="1715" t="s">
        <v>1592</v>
      </c>
      <c r="E21" s="1715" t="s">
        <v>1600</v>
      </c>
      <c r="F21" s="1715" t="s">
        <v>1646</v>
      </c>
      <c r="G21" s="1715" t="s">
        <v>1646</v>
      </c>
      <c r="H21" s="1719">
        <v>141428</v>
      </c>
      <c r="I21" s="1705" t="s">
        <v>1913</v>
      </c>
    </row>
    <row r="22" spans="1:10" x14ac:dyDescent="0.25">
      <c r="A22" s="1715" t="s">
        <v>1646</v>
      </c>
      <c r="B22" s="1715" t="s">
        <v>1646</v>
      </c>
      <c r="C22" s="1716" t="s">
        <v>1646</v>
      </c>
      <c r="D22" s="1715" t="s">
        <v>1592</v>
      </c>
      <c r="E22" s="1715" t="s">
        <v>1600</v>
      </c>
      <c r="F22" s="1715" t="s">
        <v>1617</v>
      </c>
      <c r="G22" s="1715" t="s">
        <v>1646</v>
      </c>
      <c r="H22" s="1719">
        <v>141428</v>
      </c>
    </row>
    <row r="23" spans="1:10" x14ac:dyDescent="0.25">
      <c r="A23" s="1715" t="s">
        <v>1646</v>
      </c>
      <c r="B23" s="1715" t="s">
        <v>1646</v>
      </c>
      <c r="C23" s="1716" t="s">
        <v>1646</v>
      </c>
      <c r="D23" s="1715" t="s">
        <v>1592</v>
      </c>
      <c r="E23" s="1715" t="s">
        <v>1600</v>
      </c>
      <c r="F23" s="1715" t="s">
        <v>1617</v>
      </c>
      <c r="G23" s="1715" t="s">
        <v>1652</v>
      </c>
      <c r="H23" s="1719">
        <v>19681</v>
      </c>
    </row>
    <row r="24" spans="1:10" x14ac:dyDescent="0.25">
      <c r="A24" s="1715" t="s">
        <v>1646</v>
      </c>
      <c r="B24" s="1715" t="s">
        <v>1646</v>
      </c>
      <c r="C24" s="1716" t="s">
        <v>1646</v>
      </c>
      <c r="D24" s="1715" t="s">
        <v>1592</v>
      </c>
      <c r="E24" s="1715" t="s">
        <v>1600</v>
      </c>
      <c r="F24" s="1715" t="s">
        <v>1617</v>
      </c>
      <c r="G24" s="1715" t="s">
        <v>1652</v>
      </c>
      <c r="H24" s="1719">
        <v>19681</v>
      </c>
    </row>
    <row r="25" spans="1:10" x14ac:dyDescent="0.25">
      <c r="A25" s="1715" t="s">
        <v>1646</v>
      </c>
      <c r="B25" s="1715" t="s">
        <v>1646</v>
      </c>
      <c r="C25" s="1716" t="s">
        <v>1646</v>
      </c>
      <c r="D25" s="1715" t="s">
        <v>1592</v>
      </c>
      <c r="E25" s="1715" t="s">
        <v>1600</v>
      </c>
      <c r="F25" s="1715" t="s">
        <v>1617</v>
      </c>
      <c r="G25" s="1715" t="s">
        <v>1654</v>
      </c>
      <c r="H25" s="1719">
        <v>63420</v>
      </c>
    </row>
    <row r="26" spans="1:10" x14ac:dyDescent="0.25">
      <c r="A26" s="1715" t="s">
        <v>1646</v>
      </c>
      <c r="B26" s="1715" t="s">
        <v>1646</v>
      </c>
      <c r="C26" s="1716" t="s">
        <v>1646</v>
      </c>
      <c r="D26" s="1715" t="s">
        <v>1592</v>
      </c>
      <c r="E26" s="1715" t="s">
        <v>1600</v>
      </c>
      <c r="F26" s="1715" t="s">
        <v>1617</v>
      </c>
      <c r="G26" s="1715" t="s">
        <v>1654</v>
      </c>
      <c r="H26" s="1719">
        <v>63420</v>
      </c>
    </row>
    <row r="27" spans="1:10" x14ac:dyDescent="0.25">
      <c r="A27" s="1715" t="s">
        <v>1646</v>
      </c>
      <c r="B27" s="1715" t="s">
        <v>1646</v>
      </c>
      <c r="C27" s="1716" t="s">
        <v>1646</v>
      </c>
      <c r="D27" s="1715" t="s">
        <v>1592</v>
      </c>
      <c r="E27" s="1715" t="s">
        <v>1600</v>
      </c>
      <c r="F27" s="1715" t="s">
        <v>1617</v>
      </c>
      <c r="G27" s="1715" t="s">
        <v>1618</v>
      </c>
      <c r="H27" s="1719">
        <v>57315</v>
      </c>
    </row>
    <row r="28" spans="1:10" x14ac:dyDescent="0.25">
      <c r="A28" s="1715" t="s">
        <v>1646</v>
      </c>
      <c r="B28" s="1715" t="s">
        <v>1646</v>
      </c>
      <c r="C28" s="1716" t="s">
        <v>1646</v>
      </c>
      <c r="D28" s="1715" t="s">
        <v>1592</v>
      </c>
      <c r="E28" s="1715" t="s">
        <v>1600</v>
      </c>
      <c r="F28" s="1715" t="s">
        <v>1617</v>
      </c>
      <c r="G28" s="1715" t="s">
        <v>1618</v>
      </c>
      <c r="H28" s="1719">
        <v>6707</v>
      </c>
    </row>
    <row r="29" spans="1:10" x14ac:dyDescent="0.25">
      <c r="A29" s="1715" t="s">
        <v>1646</v>
      </c>
      <c r="B29" s="1715" t="s">
        <v>1646</v>
      </c>
      <c r="C29" s="1716" t="s">
        <v>1646</v>
      </c>
      <c r="D29" s="1715" t="s">
        <v>1592</v>
      </c>
      <c r="E29" s="1715" t="s">
        <v>1600</v>
      </c>
      <c r="F29" s="1715" t="s">
        <v>1617</v>
      </c>
      <c r="G29" s="1715" t="s">
        <v>1618</v>
      </c>
      <c r="H29" s="1719">
        <v>50608</v>
      </c>
    </row>
    <row r="30" spans="1:10" x14ac:dyDescent="0.25">
      <c r="A30" s="1715" t="s">
        <v>1646</v>
      </c>
      <c r="B30" s="1715" t="s">
        <v>1646</v>
      </c>
      <c r="C30" s="1716" t="s">
        <v>1646</v>
      </c>
      <c r="D30" s="1715" t="s">
        <v>1592</v>
      </c>
      <c r="E30" s="1715" t="s">
        <v>1600</v>
      </c>
      <c r="F30" s="1715" t="s">
        <v>1617</v>
      </c>
      <c r="G30" s="1715" t="s">
        <v>1615</v>
      </c>
      <c r="H30" s="1719">
        <v>1012</v>
      </c>
    </row>
    <row r="31" spans="1:10" x14ac:dyDescent="0.25">
      <c r="A31" s="1715" t="s">
        <v>1646</v>
      </c>
      <c r="B31" s="1715" t="s">
        <v>1646</v>
      </c>
      <c r="C31" s="1716" t="s">
        <v>1646</v>
      </c>
      <c r="D31" s="1715" t="s">
        <v>1592</v>
      </c>
      <c r="E31" s="1715" t="s">
        <v>1600</v>
      </c>
      <c r="F31" s="1715" t="s">
        <v>1617</v>
      </c>
      <c r="G31" s="1715" t="s">
        <v>1615</v>
      </c>
      <c r="H31" s="1719">
        <v>1012</v>
      </c>
    </row>
    <row r="32" spans="1:10" ht="47.25" x14ac:dyDescent="0.25">
      <c r="A32" s="1715" t="s">
        <v>1646</v>
      </c>
      <c r="B32" s="1715" t="s">
        <v>1656</v>
      </c>
      <c r="C32" s="1716" t="s">
        <v>1657</v>
      </c>
      <c r="D32" s="1715" t="s">
        <v>1646</v>
      </c>
      <c r="E32" s="1715" t="s">
        <v>1646</v>
      </c>
      <c r="F32" s="1715" t="s">
        <v>1646</v>
      </c>
      <c r="G32" s="1715" t="s">
        <v>1646</v>
      </c>
      <c r="H32" s="1719">
        <v>64000</v>
      </c>
    </row>
    <row r="33" spans="1:10" x14ac:dyDescent="0.25">
      <c r="A33" s="1715" t="s">
        <v>1646</v>
      </c>
      <c r="B33" s="1715" t="s">
        <v>1646</v>
      </c>
      <c r="C33" s="1716" t="s">
        <v>1646</v>
      </c>
      <c r="D33" s="1715" t="s">
        <v>1592</v>
      </c>
      <c r="E33" s="1715" t="s">
        <v>1646</v>
      </c>
      <c r="F33" s="1715" t="s">
        <v>1646</v>
      </c>
      <c r="G33" s="1715" t="s">
        <v>1646</v>
      </c>
      <c r="H33" s="1719">
        <v>64000</v>
      </c>
    </row>
    <row r="34" spans="1:10" x14ac:dyDescent="0.25">
      <c r="A34" s="1715" t="s">
        <v>1646</v>
      </c>
      <c r="B34" s="1715" t="s">
        <v>1646</v>
      </c>
      <c r="C34" s="1716" t="s">
        <v>1646</v>
      </c>
      <c r="D34" s="1715" t="s">
        <v>1592</v>
      </c>
      <c r="E34" s="1715" t="s">
        <v>1620</v>
      </c>
      <c r="F34" s="1715" t="s">
        <v>1646</v>
      </c>
      <c r="G34" s="1715" t="s">
        <v>1646</v>
      </c>
      <c r="H34" s="1719">
        <v>64000</v>
      </c>
      <c r="I34" s="1705" t="s">
        <v>1915</v>
      </c>
      <c r="J34" s="1734">
        <f>H34+H75+H145+H167</f>
        <v>118652</v>
      </c>
    </row>
    <row r="35" spans="1:10" x14ac:dyDescent="0.25">
      <c r="A35" s="1715" t="s">
        <v>1646</v>
      </c>
      <c r="B35" s="1715" t="s">
        <v>1646</v>
      </c>
      <c r="C35" s="1716" t="s">
        <v>1646</v>
      </c>
      <c r="D35" s="1715" t="s">
        <v>1592</v>
      </c>
      <c r="E35" s="1715" t="s">
        <v>1620</v>
      </c>
      <c r="F35" s="1715" t="s">
        <v>1621</v>
      </c>
      <c r="G35" s="1715" t="s">
        <v>1646</v>
      </c>
      <c r="H35" s="1719">
        <v>64000</v>
      </c>
    </row>
    <row r="36" spans="1:10" x14ac:dyDescent="0.25">
      <c r="A36" s="1715" t="s">
        <v>1646</v>
      </c>
      <c r="B36" s="1715" t="s">
        <v>1646</v>
      </c>
      <c r="C36" s="1716" t="s">
        <v>1646</v>
      </c>
      <c r="D36" s="1715" t="s">
        <v>1592</v>
      </c>
      <c r="E36" s="1715" t="s">
        <v>1620</v>
      </c>
      <c r="F36" s="1715" t="s">
        <v>1621</v>
      </c>
      <c r="G36" s="1715" t="s">
        <v>1652</v>
      </c>
      <c r="H36" s="1719">
        <v>50000</v>
      </c>
    </row>
    <row r="37" spans="1:10" x14ac:dyDescent="0.25">
      <c r="A37" s="1715" t="s">
        <v>1646</v>
      </c>
      <c r="B37" s="1715" t="s">
        <v>1646</v>
      </c>
      <c r="C37" s="1716" t="s">
        <v>1646</v>
      </c>
      <c r="D37" s="1715" t="s">
        <v>1592</v>
      </c>
      <c r="E37" s="1715" t="s">
        <v>1620</v>
      </c>
      <c r="F37" s="1715" t="s">
        <v>1621</v>
      </c>
      <c r="G37" s="1715" t="s">
        <v>1652</v>
      </c>
      <c r="H37" s="1719">
        <v>50000</v>
      </c>
    </row>
    <row r="38" spans="1:10" x14ac:dyDescent="0.25">
      <c r="A38" s="1715" t="s">
        <v>1646</v>
      </c>
      <c r="B38" s="1715" t="s">
        <v>1646</v>
      </c>
      <c r="C38" s="1716" t="s">
        <v>1646</v>
      </c>
      <c r="D38" s="1715" t="s">
        <v>1592</v>
      </c>
      <c r="E38" s="1715" t="s">
        <v>1620</v>
      </c>
      <c r="F38" s="1715" t="s">
        <v>1621</v>
      </c>
      <c r="G38" s="1715" t="s">
        <v>1609</v>
      </c>
      <c r="H38" s="1719">
        <v>14000</v>
      </c>
    </row>
    <row r="39" spans="1:10" x14ac:dyDescent="0.25">
      <c r="A39" s="1715" t="s">
        <v>1646</v>
      </c>
      <c r="B39" s="1715" t="s">
        <v>1646</v>
      </c>
      <c r="C39" s="1716" t="s">
        <v>1646</v>
      </c>
      <c r="D39" s="1715" t="s">
        <v>1592</v>
      </c>
      <c r="E39" s="1715" t="s">
        <v>1620</v>
      </c>
      <c r="F39" s="1715" t="s">
        <v>1621</v>
      </c>
      <c r="G39" s="1715" t="s">
        <v>1609</v>
      </c>
      <c r="H39" s="1719">
        <v>2661</v>
      </c>
    </row>
    <row r="40" spans="1:10" x14ac:dyDescent="0.25">
      <c r="A40" s="1715" t="s">
        <v>1646</v>
      </c>
      <c r="B40" s="1715" t="s">
        <v>1646</v>
      </c>
      <c r="C40" s="1716" t="s">
        <v>1646</v>
      </c>
      <c r="D40" s="1715" t="s">
        <v>1592</v>
      </c>
      <c r="E40" s="1715" t="s">
        <v>1620</v>
      </c>
      <c r="F40" s="1715" t="s">
        <v>1621</v>
      </c>
      <c r="G40" s="1715" t="s">
        <v>1609</v>
      </c>
      <c r="H40" s="1719">
        <v>800</v>
      </c>
    </row>
    <row r="41" spans="1:10" x14ac:dyDescent="0.25">
      <c r="A41" s="1715" t="s">
        <v>1646</v>
      </c>
      <c r="B41" s="1715" t="s">
        <v>1646</v>
      </c>
      <c r="C41" s="1716" t="s">
        <v>1646</v>
      </c>
      <c r="D41" s="1715" t="s">
        <v>1592</v>
      </c>
      <c r="E41" s="1715" t="s">
        <v>1620</v>
      </c>
      <c r="F41" s="1715" t="s">
        <v>1621</v>
      </c>
      <c r="G41" s="1715" t="s">
        <v>1609</v>
      </c>
      <c r="H41" s="1719">
        <v>7800</v>
      </c>
    </row>
    <row r="42" spans="1:10" x14ac:dyDescent="0.25">
      <c r="A42" s="1715" t="s">
        <v>1646</v>
      </c>
      <c r="B42" s="1715" t="s">
        <v>1646</v>
      </c>
      <c r="C42" s="1716" t="s">
        <v>1646</v>
      </c>
      <c r="D42" s="1715" t="s">
        <v>1592</v>
      </c>
      <c r="E42" s="1715" t="s">
        <v>1620</v>
      </c>
      <c r="F42" s="1715" t="s">
        <v>1621</v>
      </c>
      <c r="G42" s="1715" t="s">
        <v>1609</v>
      </c>
      <c r="H42" s="1719">
        <v>2739</v>
      </c>
    </row>
    <row r="43" spans="1:10" ht="47.25" x14ac:dyDescent="0.25">
      <c r="A43" s="1715" t="s">
        <v>1646</v>
      </c>
      <c r="B43" s="1715" t="s">
        <v>1658</v>
      </c>
      <c r="C43" s="1716" t="s">
        <v>1659</v>
      </c>
      <c r="D43" s="1715" t="s">
        <v>1646</v>
      </c>
      <c r="E43" s="1715" t="s">
        <v>1646</v>
      </c>
      <c r="F43" s="1715" t="s">
        <v>1646</v>
      </c>
      <c r="G43" s="1715" t="s">
        <v>1646</v>
      </c>
      <c r="H43" s="1719">
        <v>203063</v>
      </c>
    </row>
    <row r="44" spans="1:10" x14ac:dyDescent="0.25">
      <c r="A44" s="1715" t="s">
        <v>1646</v>
      </c>
      <c r="B44" s="1715" t="s">
        <v>1646</v>
      </c>
      <c r="C44" s="1716" t="s">
        <v>1646</v>
      </c>
      <c r="D44" s="1715" t="s">
        <v>1592</v>
      </c>
      <c r="E44" s="1715" t="s">
        <v>1646</v>
      </c>
      <c r="F44" s="1715" t="s">
        <v>1646</v>
      </c>
      <c r="G44" s="1715" t="s">
        <v>1646</v>
      </c>
      <c r="H44" s="1719">
        <v>203063</v>
      </c>
    </row>
    <row r="45" spans="1:10" x14ac:dyDescent="0.25">
      <c r="A45" s="1715" t="s">
        <v>1646</v>
      </c>
      <c r="B45" s="1715" t="s">
        <v>1646</v>
      </c>
      <c r="C45" s="1716" t="s">
        <v>1646</v>
      </c>
      <c r="D45" s="1715" t="s">
        <v>1592</v>
      </c>
      <c r="E45" s="1715" t="s">
        <v>1642</v>
      </c>
      <c r="F45" s="1715" t="s">
        <v>1646</v>
      </c>
      <c r="G45" s="1715" t="s">
        <v>1646</v>
      </c>
      <c r="H45" s="1719">
        <v>203063</v>
      </c>
      <c r="I45" s="1705" t="s">
        <v>1914</v>
      </c>
    </row>
    <row r="46" spans="1:10" x14ac:dyDescent="0.25">
      <c r="A46" s="1715" t="s">
        <v>1646</v>
      </c>
      <c r="B46" s="1715" t="s">
        <v>1646</v>
      </c>
      <c r="C46" s="1716" t="s">
        <v>1646</v>
      </c>
      <c r="D46" s="1715" t="s">
        <v>1592</v>
      </c>
      <c r="E46" s="1715" t="s">
        <v>1642</v>
      </c>
      <c r="F46" s="1715" t="s">
        <v>1650</v>
      </c>
      <c r="G46" s="1715" t="s">
        <v>1646</v>
      </c>
      <c r="H46" s="1719">
        <v>203063</v>
      </c>
    </row>
    <row r="47" spans="1:10" x14ac:dyDescent="0.25">
      <c r="A47" s="1715" t="s">
        <v>1646</v>
      </c>
      <c r="B47" s="1715" t="s">
        <v>1646</v>
      </c>
      <c r="C47" s="1716" t="s">
        <v>1646</v>
      </c>
      <c r="D47" s="1715" t="s">
        <v>1592</v>
      </c>
      <c r="E47" s="1715" t="s">
        <v>1642</v>
      </c>
      <c r="F47" s="1715" t="s">
        <v>1650</v>
      </c>
      <c r="G47" s="1715" t="s">
        <v>1609</v>
      </c>
      <c r="H47" s="1719">
        <v>15377</v>
      </c>
    </row>
    <row r="48" spans="1:10" x14ac:dyDescent="0.25">
      <c r="A48" s="1715" t="s">
        <v>1646</v>
      </c>
      <c r="B48" s="1715" t="s">
        <v>1646</v>
      </c>
      <c r="C48" s="1716" t="s">
        <v>1646</v>
      </c>
      <c r="D48" s="1715" t="s">
        <v>1592</v>
      </c>
      <c r="E48" s="1715" t="s">
        <v>1642</v>
      </c>
      <c r="F48" s="1715" t="s">
        <v>1650</v>
      </c>
      <c r="G48" s="1715" t="s">
        <v>1609</v>
      </c>
      <c r="H48" s="1719">
        <v>3167</v>
      </c>
    </row>
    <row r="49" spans="1:8" x14ac:dyDescent="0.25">
      <c r="A49" s="1715" t="s">
        <v>1646</v>
      </c>
      <c r="B49" s="1715" t="s">
        <v>1646</v>
      </c>
      <c r="C49" s="1716" t="s">
        <v>1646</v>
      </c>
      <c r="D49" s="1715" t="s">
        <v>1592</v>
      </c>
      <c r="E49" s="1715" t="s">
        <v>1642</v>
      </c>
      <c r="F49" s="1715" t="s">
        <v>1650</v>
      </c>
      <c r="G49" s="1715" t="s">
        <v>1609</v>
      </c>
      <c r="H49" s="1719">
        <v>12210</v>
      </c>
    </row>
    <row r="50" spans="1:8" x14ac:dyDescent="0.25">
      <c r="A50" s="1715" t="s">
        <v>1646</v>
      </c>
      <c r="B50" s="1715" t="s">
        <v>1646</v>
      </c>
      <c r="C50" s="1716" t="s">
        <v>1646</v>
      </c>
      <c r="D50" s="1715" t="s">
        <v>1592</v>
      </c>
      <c r="E50" s="1715" t="s">
        <v>1642</v>
      </c>
      <c r="F50" s="1715" t="s">
        <v>1650</v>
      </c>
      <c r="G50" s="1715" t="s">
        <v>1660</v>
      </c>
      <c r="H50" s="1719">
        <v>143200</v>
      </c>
    </row>
    <row r="51" spans="1:8" x14ac:dyDescent="0.25">
      <c r="A51" s="1715" t="s">
        <v>1646</v>
      </c>
      <c r="B51" s="1715" t="s">
        <v>1646</v>
      </c>
      <c r="C51" s="1716" t="s">
        <v>1646</v>
      </c>
      <c r="D51" s="1715" t="s">
        <v>1592</v>
      </c>
      <c r="E51" s="1715" t="s">
        <v>1642</v>
      </c>
      <c r="F51" s="1715" t="s">
        <v>1650</v>
      </c>
      <c r="G51" s="1715" t="s">
        <v>1660</v>
      </c>
      <c r="H51" s="1719">
        <v>40800</v>
      </c>
    </row>
    <row r="52" spans="1:8" x14ac:dyDescent="0.25">
      <c r="A52" s="1715" t="s">
        <v>1646</v>
      </c>
      <c r="B52" s="1715" t="s">
        <v>1646</v>
      </c>
      <c r="C52" s="1716" t="s">
        <v>1646</v>
      </c>
      <c r="D52" s="1715" t="s">
        <v>1592</v>
      </c>
      <c r="E52" s="1715" t="s">
        <v>1642</v>
      </c>
      <c r="F52" s="1715" t="s">
        <v>1650</v>
      </c>
      <c r="G52" s="1715" t="s">
        <v>1660</v>
      </c>
      <c r="H52" s="1719">
        <v>66936</v>
      </c>
    </row>
    <row r="53" spans="1:8" x14ac:dyDescent="0.25">
      <c r="A53" s="1715" t="s">
        <v>1646</v>
      </c>
      <c r="B53" s="1715" t="s">
        <v>1646</v>
      </c>
      <c r="C53" s="1716" t="s">
        <v>1646</v>
      </c>
      <c r="D53" s="1715" t="s">
        <v>1592</v>
      </c>
      <c r="E53" s="1715" t="s">
        <v>1642</v>
      </c>
      <c r="F53" s="1715" t="s">
        <v>1650</v>
      </c>
      <c r="G53" s="1715" t="s">
        <v>1660</v>
      </c>
      <c r="H53" s="1719">
        <v>35464</v>
      </c>
    </row>
    <row r="54" spans="1:8" x14ac:dyDescent="0.25">
      <c r="A54" s="1715" t="s">
        <v>1646</v>
      </c>
      <c r="B54" s="1715" t="s">
        <v>1646</v>
      </c>
      <c r="C54" s="1716" t="s">
        <v>1646</v>
      </c>
      <c r="D54" s="1715" t="s">
        <v>1592</v>
      </c>
      <c r="E54" s="1715" t="s">
        <v>1642</v>
      </c>
      <c r="F54" s="1715" t="s">
        <v>1650</v>
      </c>
      <c r="G54" s="1715" t="s">
        <v>1654</v>
      </c>
      <c r="H54" s="1719">
        <v>33800</v>
      </c>
    </row>
    <row r="55" spans="1:8" x14ac:dyDescent="0.25">
      <c r="A55" s="1715" t="s">
        <v>1646</v>
      </c>
      <c r="B55" s="1715" t="s">
        <v>1646</v>
      </c>
      <c r="C55" s="1716" t="s">
        <v>1646</v>
      </c>
      <c r="D55" s="1715" t="s">
        <v>1592</v>
      </c>
      <c r="E55" s="1715" t="s">
        <v>1642</v>
      </c>
      <c r="F55" s="1715" t="s">
        <v>1650</v>
      </c>
      <c r="G55" s="1715" t="s">
        <v>1654</v>
      </c>
      <c r="H55" s="1719">
        <v>33800</v>
      </c>
    </row>
    <row r="56" spans="1:8" x14ac:dyDescent="0.25">
      <c r="A56" s="1715" t="s">
        <v>1646</v>
      </c>
      <c r="B56" s="1715" t="s">
        <v>1646</v>
      </c>
      <c r="C56" s="1716" t="s">
        <v>1646</v>
      </c>
      <c r="D56" s="1715" t="s">
        <v>1592</v>
      </c>
      <c r="E56" s="1715" t="s">
        <v>1642</v>
      </c>
      <c r="F56" s="1715" t="s">
        <v>1650</v>
      </c>
      <c r="G56" s="1715" t="s">
        <v>1618</v>
      </c>
      <c r="H56" s="1719">
        <v>10687</v>
      </c>
    </row>
    <row r="57" spans="1:8" x14ac:dyDescent="0.25">
      <c r="A57" s="1715" t="s">
        <v>1646</v>
      </c>
      <c r="B57" s="1715" t="s">
        <v>1646</v>
      </c>
      <c r="C57" s="1716" t="s">
        <v>1646</v>
      </c>
      <c r="D57" s="1715" t="s">
        <v>1592</v>
      </c>
      <c r="E57" s="1715" t="s">
        <v>1642</v>
      </c>
      <c r="F57" s="1715" t="s">
        <v>1650</v>
      </c>
      <c r="G57" s="1715" t="s">
        <v>1618</v>
      </c>
      <c r="H57" s="1719">
        <v>2112</v>
      </c>
    </row>
    <row r="58" spans="1:8" x14ac:dyDescent="0.25">
      <c r="A58" s="1715" t="s">
        <v>1646</v>
      </c>
      <c r="B58" s="1715" t="s">
        <v>1646</v>
      </c>
      <c r="C58" s="1716" t="s">
        <v>1646</v>
      </c>
      <c r="D58" s="1715" t="s">
        <v>1592</v>
      </c>
      <c r="E58" s="1715" t="s">
        <v>1642</v>
      </c>
      <c r="F58" s="1715" t="s">
        <v>1650</v>
      </c>
      <c r="G58" s="1715" t="s">
        <v>1618</v>
      </c>
      <c r="H58" s="1719">
        <v>8575</v>
      </c>
    </row>
    <row r="59" spans="1:8" ht="47.25" x14ac:dyDescent="0.25">
      <c r="A59" s="1715" t="s">
        <v>1646</v>
      </c>
      <c r="B59" s="1715" t="s">
        <v>1664</v>
      </c>
      <c r="C59" s="1716" t="s">
        <v>1665</v>
      </c>
      <c r="D59" s="1715" t="s">
        <v>1646</v>
      </c>
      <c r="E59" s="1715" t="s">
        <v>1646</v>
      </c>
      <c r="F59" s="1715" t="s">
        <v>1646</v>
      </c>
      <c r="G59" s="1715" t="s">
        <v>1646</v>
      </c>
      <c r="H59" s="1719">
        <v>0</v>
      </c>
    </row>
    <row r="60" spans="1:8" x14ac:dyDescent="0.25">
      <c r="A60" s="1715" t="s">
        <v>1646</v>
      </c>
      <c r="B60" s="1715" t="s">
        <v>1646</v>
      </c>
      <c r="C60" s="1716" t="s">
        <v>1646</v>
      </c>
      <c r="D60" s="1715" t="s">
        <v>1592</v>
      </c>
      <c r="E60" s="1715" t="s">
        <v>1646</v>
      </c>
      <c r="F60" s="1715" t="s">
        <v>1646</v>
      </c>
      <c r="G60" s="1715" t="s">
        <v>1646</v>
      </c>
      <c r="H60" s="1719">
        <v>0</v>
      </c>
    </row>
    <row r="61" spans="1:8" x14ac:dyDescent="0.25">
      <c r="A61" s="1715" t="s">
        <v>1646</v>
      </c>
      <c r="B61" s="1715" t="s">
        <v>1646</v>
      </c>
      <c r="C61" s="1716" t="s">
        <v>1646</v>
      </c>
      <c r="D61" s="1715" t="s">
        <v>1592</v>
      </c>
      <c r="E61" s="1715" t="s">
        <v>1600</v>
      </c>
      <c r="F61" s="1715" t="s">
        <v>1646</v>
      </c>
      <c r="G61" s="1715" t="s">
        <v>1646</v>
      </c>
      <c r="H61" s="1719">
        <v>0</v>
      </c>
    </row>
    <row r="62" spans="1:8" x14ac:dyDescent="0.25">
      <c r="A62" s="1715" t="s">
        <v>1646</v>
      </c>
      <c r="B62" s="1715" t="s">
        <v>1646</v>
      </c>
      <c r="C62" s="1716" t="s">
        <v>1646</v>
      </c>
      <c r="D62" s="1715" t="s">
        <v>1592</v>
      </c>
      <c r="E62" s="1715" t="s">
        <v>1600</v>
      </c>
      <c r="F62" s="1715" t="s">
        <v>1617</v>
      </c>
      <c r="G62" s="1715" t="s">
        <v>1646</v>
      </c>
      <c r="H62" s="1719">
        <v>0</v>
      </c>
    </row>
    <row r="63" spans="1:8" x14ac:dyDescent="0.25">
      <c r="A63" s="1715" t="s">
        <v>1646</v>
      </c>
      <c r="B63" s="1715" t="s">
        <v>1646</v>
      </c>
      <c r="C63" s="1716" t="s">
        <v>1646</v>
      </c>
      <c r="D63" s="1715" t="s">
        <v>1592</v>
      </c>
      <c r="E63" s="1715" t="s">
        <v>1642</v>
      </c>
      <c r="F63" s="1715" t="s">
        <v>1646</v>
      </c>
      <c r="G63" s="1715" t="s">
        <v>1646</v>
      </c>
      <c r="H63" s="1719">
        <v>0</v>
      </c>
    </row>
    <row r="64" spans="1:8" x14ac:dyDescent="0.25">
      <c r="A64" s="1715" t="s">
        <v>1646</v>
      </c>
      <c r="B64" s="1715" t="s">
        <v>1646</v>
      </c>
      <c r="C64" s="1716" t="s">
        <v>1646</v>
      </c>
      <c r="D64" s="1715" t="s">
        <v>1592</v>
      </c>
      <c r="E64" s="1715" t="s">
        <v>1642</v>
      </c>
      <c r="F64" s="1715" t="s">
        <v>1650</v>
      </c>
      <c r="G64" s="1715" t="s">
        <v>1646</v>
      </c>
      <c r="H64" s="1719">
        <v>0</v>
      </c>
    </row>
    <row r="65" spans="1:9" ht="47.25" x14ac:dyDescent="0.25">
      <c r="A65" s="1715" t="s">
        <v>1646</v>
      </c>
      <c r="B65" s="1715" t="s">
        <v>1666</v>
      </c>
      <c r="C65" s="1716" t="s">
        <v>1667</v>
      </c>
      <c r="D65" s="1715" t="s">
        <v>1646</v>
      </c>
      <c r="E65" s="1715" t="s">
        <v>1646</v>
      </c>
      <c r="F65" s="1715" t="s">
        <v>1646</v>
      </c>
      <c r="G65" s="1715" t="s">
        <v>1646</v>
      </c>
      <c r="H65" s="1719">
        <v>4382</v>
      </c>
    </row>
    <row r="66" spans="1:9" x14ac:dyDescent="0.25">
      <c r="A66" s="1715" t="s">
        <v>1646</v>
      </c>
      <c r="B66" s="1715" t="s">
        <v>1646</v>
      </c>
      <c r="C66" s="1716" t="s">
        <v>1646</v>
      </c>
      <c r="D66" s="1715" t="s">
        <v>1592</v>
      </c>
      <c r="E66" s="1715" t="s">
        <v>1646</v>
      </c>
      <c r="F66" s="1715" t="s">
        <v>1646</v>
      </c>
      <c r="G66" s="1715" t="s">
        <v>1646</v>
      </c>
      <c r="H66" s="1719">
        <v>4382</v>
      </c>
      <c r="I66" s="1705" t="s">
        <v>1913</v>
      </c>
    </row>
    <row r="67" spans="1:9" x14ac:dyDescent="0.25">
      <c r="A67" s="1715" t="s">
        <v>1646</v>
      </c>
      <c r="B67" s="1715" t="s">
        <v>1646</v>
      </c>
      <c r="C67" s="1716" t="s">
        <v>1646</v>
      </c>
      <c r="D67" s="1715" t="s">
        <v>1592</v>
      </c>
      <c r="E67" s="1715" t="s">
        <v>1600</v>
      </c>
      <c r="F67" s="1715" t="s">
        <v>1646</v>
      </c>
      <c r="G67" s="1715" t="s">
        <v>1646</v>
      </c>
      <c r="H67" s="1719">
        <v>4382</v>
      </c>
    </row>
    <row r="68" spans="1:9" x14ac:dyDescent="0.25">
      <c r="A68" s="1715" t="s">
        <v>1646</v>
      </c>
      <c r="B68" s="1715" t="s">
        <v>1646</v>
      </c>
      <c r="C68" s="1716" t="s">
        <v>1646</v>
      </c>
      <c r="D68" s="1715" t="s">
        <v>1592</v>
      </c>
      <c r="E68" s="1715" t="s">
        <v>1600</v>
      </c>
      <c r="F68" s="1715" t="s">
        <v>1617</v>
      </c>
      <c r="G68" s="1715" t="s">
        <v>1646</v>
      </c>
      <c r="H68" s="1719">
        <v>4382</v>
      </c>
    </row>
    <row r="69" spans="1:9" x14ac:dyDescent="0.25">
      <c r="A69" s="1715" t="s">
        <v>1646</v>
      </c>
      <c r="B69" s="1715" t="s">
        <v>1646</v>
      </c>
      <c r="C69" s="1716" t="s">
        <v>1646</v>
      </c>
      <c r="D69" s="1715" t="s">
        <v>1592</v>
      </c>
      <c r="E69" s="1715" t="s">
        <v>1600</v>
      </c>
      <c r="F69" s="1715" t="s">
        <v>1617</v>
      </c>
      <c r="G69" s="1715" t="s">
        <v>1609</v>
      </c>
      <c r="H69" s="1719">
        <v>1600</v>
      </c>
    </row>
    <row r="70" spans="1:9" x14ac:dyDescent="0.25">
      <c r="A70" s="1715" t="s">
        <v>1646</v>
      </c>
      <c r="B70" s="1715" t="s">
        <v>1646</v>
      </c>
      <c r="C70" s="1716" t="s">
        <v>1646</v>
      </c>
      <c r="D70" s="1715" t="s">
        <v>1592</v>
      </c>
      <c r="E70" s="1715" t="s">
        <v>1600</v>
      </c>
      <c r="F70" s="1715" t="s">
        <v>1617</v>
      </c>
      <c r="G70" s="1715" t="s">
        <v>1609</v>
      </c>
      <c r="H70" s="1719">
        <v>1600</v>
      </c>
    </row>
    <row r="71" spans="1:9" x14ac:dyDescent="0.25">
      <c r="A71" s="1715" t="s">
        <v>1646</v>
      </c>
      <c r="B71" s="1715" t="s">
        <v>1646</v>
      </c>
      <c r="C71" s="1716" t="s">
        <v>1646</v>
      </c>
      <c r="D71" s="1715" t="s">
        <v>1592</v>
      </c>
      <c r="E71" s="1715" t="s">
        <v>1600</v>
      </c>
      <c r="F71" s="1715" t="s">
        <v>1617</v>
      </c>
      <c r="G71" s="1715" t="s">
        <v>1615</v>
      </c>
      <c r="H71" s="1719">
        <v>2782</v>
      </c>
    </row>
    <row r="72" spans="1:9" x14ac:dyDescent="0.25">
      <c r="A72" s="1715" t="s">
        <v>1646</v>
      </c>
      <c r="B72" s="1715" t="s">
        <v>1646</v>
      </c>
      <c r="C72" s="1716" t="s">
        <v>1646</v>
      </c>
      <c r="D72" s="1715" t="s">
        <v>1592</v>
      </c>
      <c r="E72" s="1715" t="s">
        <v>1600</v>
      </c>
      <c r="F72" s="1715" t="s">
        <v>1617</v>
      </c>
      <c r="G72" s="1715" t="s">
        <v>1615</v>
      </c>
      <c r="H72" s="1719">
        <v>2782</v>
      </c>
    </row>
    <row r="73" spans="1:9" ht="47.25" x14ac:dyDescent="0.25">
      <c r="A73" s="1715" t="s">
        <v>1646</v>
      </c>
      <c r="B73" s="1715" t="s">
        <v>1668</v>
      </c>
      <c r="C73" s="1716" t="s">
        <v>1669</v>
      </c>
      <c r="D73" s="1715" t="s">
        <v>1646</v>
      </c>
      <c r="E73" s="1715" t="s">
        <v>1646</v>
      </c>
      <c r="F73" s="1715" t="s">
        <v>1646</v>
      </c>
      <c r="G73" s="1715" t="s">
        <v>1646</v>
      </c>
      <c r="H73" s="1719">
        <v>3652</v>
      </c>
    </row>
    <row r="74" spans="1:9" x14ac:dyDescent="0.25">
      <c r="A74" s="1715" t="s">
        <v>1646</v>
      </c>
      <c r="B74" s="1715" t="s">
        <v>1646</v>
      </c>
      <c r="C74" s="1716" t="s">
        <v>1646</v>
      </c>
      <c r="D74" s="1715" t="s">
        <v>1592</v>
      </c>
      <c r="E74" s="1715" t="s">
        <v>1646</v>
      </c>
      <c r="F74" s="1715" t="s">
        <v>1646</v>
      </c>
      <c r="G74" s="1715" t="s">
        <v>1646</v>
      </c>
      <c r="H74" s="1719">
        <v>3652</v>
      </c>
    </row>
    <row r="75" spans="1:9" x14ac:dyDescent="0.25">
      <c r="A75" s="1715" t="s">
        <v>1646</v>
      </c>
      <c r="B75" s="1715" t="s">
        <v>1646</v>
      </c>
      <c r="C75" s="1716" t="s">
        <v>1646</v>
      </c>
      <c r="D75" s="1715" t="s">
        <v>1592</v>
      </c>
      <c r="E75" s="1715" t="s">
        <v>1620</v>
      </c>
      <c r="F75" s="1715" t="s">
        <v>1646</v>
      </c>
      <c r="G75" s="1715" t="s">
        <v>1646</v>
      </c>
      <c r="H75" s="1719">
        <v>3652</v>
      </c>
      <c r="I75" s="1705" t="s">
        <v>1915</v>
      </c>
    </row>
    <row r="76" spans="1:9" x14ac:dyDescent="0.25">
      <c r="A76" s="1715" t="s">
        <v>1646</v>
      </c>
      <c r="B76" s="1715" t="s">
        <v>1646</v>
      </c>
      <c r="C76" s="1716" t="s">
        <v>1646</v>
      </c>
      <c r="D76" s="1715" t="s">
        <v>1592</v>
      </c>
      <c r="E76" s="1715" t="s">
        <v>1620</v>
      </c>
      <c r="F76" s="1715" t="s">
        <v>1621</v>
      </c>
      <c r="G76" s="1715" t="s">
        <v>1646</v>
      </c>
      <c r="H76" s="1719">
        <v>3652</v>
      </c>
    </row>
    <row r="77" spans="1:9" x14ac:dyDescent="0.25">
      <c r="A77" s="1715" t="s">
        <v>1646</v>
      </c>
      <c r="B77" s="1715" t="s">
        <v>1646</v>
      </c>
      <c r="C77" s="1716" t="s">
        <v>1646</v>
      </c>
      <c r="D77" s="1715" t="s">
        <v>1592</v>
      </c>
      <c r="E77" s="1715" t="s">
        <v>1620</v>
      </c>
      <c r="F77" s="1715" t="s">
        <v>1621</v>
      </c>
      <c r="G77" s="1715" t="s">
        <v>1652</v>
      </c>
      <c r="H77" s="1719">
        <v>1600</v>
      </c>
    </row>
    <row r="78" spans="1:9" x14ac:dyDescent="0.25">
      <c r="A78" s="1715" t="s">
        <v>1646</v>
      </c>
      <c r="B78" s="1715" t="s">
        <v>1646</v>
      </c>
      <c r="C78" s="1716" t="s">
        <v>1646</v>
      </c>
      <c r="D78" s="1715" t="s">
        <v>1592</v>
      </c>
      <c r="E78" s="1715" t="s">
        <v>1620</v>
      </c>
      <c r="F78" s="1715" t="s">
        <v>1621</v>
      </c>
      <c r="G78" s="1715" t="s">
        <v>1652</v>
      </c>
      <c r="H78" s="1719">
        <v>1600</v>
      </c>
    </row>
    <row r="79" spans="1:9" x14ac:dyDescent="0.25">
      <c r="A79" s="1715" t="s">
        <v>1646</v>
      </c>
      <c r="B79" s="1715" t="s">
        <v>1646</v>
      </c>
      <c r="C79" s="1716" t="s">
        <v>1646</v>
      </c>
      <c r="D79" s="1715" t="s">
        <v>1592</v>
      </c>
      <c r="E79" s="1715" t="s">
        <v>1620</v>
      </c>
      <c r="F79" s="1715" t="s">
        <v>1621</v>
      </c>
      <c r="G79" s="1715" t="s">
        <v>1609</v>
      </c>
      <c r="H79" s="1719">
        <v>2052</v>
      </c>
    </row>
    <row r="80" spans="1:9" x14ac:dyDescent="0.25">
      <c r="A80" s="1715" t="s">
        <v>1646</v>
      </c>
      <c r="B80" s="1715" t="s">
        <v>1646</v>
      </c>
      <c r="C80" s="1716" t="s">
        <v>1646</v>
      </c>
      <c r="D80" s="1715" t="s">
        <v>1592</v>
      </c>
      <c r="E80" s="1715" t="s">
        <v>1620</v>
      </c>
      <c r="F80" s="1715" t="s">
        <v>1621</v>
      </c>
      <c r="G80" s="1715" t="s">
        <v>1609</v>
      </c>
      <c r="H80" s="1719">
        <v>2052</v>
      </c>
    </row>
    <row r="81" spans="1:9" ht="47.25" x14ac:dyDescent="0.25">
      <c r="A81" s="1715" t="s">
        <v>1646</v>
      </c>
      <c r="B81" s="1715" t="s">
        <v>1670</v>
      </c>
      <c r="C81" s="1716" t="s">
        <v>1671</v>
      </c>
      <c r="D81" s="1715" t="s">
        <v>1646</v>
      </c>
      <c r="E81" s="1715" t="s">
        <v>1646</v>
      </c>
      <c r="F81" s="1715" t="s">
        <v>1646</v>
      </c>
      <c r="G81" s="1715" t="s">
        <v>1646</v>
      </c>
      <c r="H81" s="1719">
        <v>5000</v>
      </c>
    </row>
    <row r="82" spans="1:9" x14ac:dyDescent="0.25">
      <c r="A82" s="1715" t="s">
        <v>1646</v>
      </c>
      <c r="B82" s="1715" t="s">
        <v>1646</v>
      </c>
      <c r="C82" s="1716" t="s">
        <v>1646</v>
      </c>
      <c r="D82" s="1715" t="s">
        <v>1592</v>
      </c>
      <c r="E82" s="1715" t="s">
        <v>1646</v>
      </c>
      <c r="F82" s="1715" t="s">
        <v>1646</v>
      </c>
      <c r="G82" s="1715" t="s">
        <v>1646</v>
      </c>
      <c r="H82" s="1719">
        <v>5000</v>
      </c>
    </row>
    <row r="83" spans="1:9" x14ac:dyDescent="0.25">
      <c r="A83" s="1715" t="s">
        <v>1646</v>
      </c>
      <c r="B83" s="1715" t="s">
        <v>1646</v>
      </c>
      <c r="C83" s="1716" t="s">
        <v>1646</v>
      </c>
      <c r="D83" s="1715" t="s">
        <v>1592</v>
      </c>
      <c r="E83" s="1715" t="s">
        <v>1642</v>
      </c>
      <c r="F83" s="1715" t="s">
        <v>1646</v>
      </c>
      <c r="G83" s="1715" t="s">
        <v>1646</v>
      </c>
      <c r="H83" s="1719">
        <v>5000</v>
      </c>
      <c r="I83" s="1705" t="s">
        <v>1914</v>
      </c>
    </row>
    <row r="84" spans="1:9" x14ac:dyDescent="0.25">
      <c r="A84" s="1715" t="s">
        <v>1646</v>
      </c>
      <c r="B84" s="1715" t="s">
        <v>1646</v>
      </c>
      <c r="C84" s="1716" t="s">
        <v>1646</v>
      </c>
      <c r="D84" s="1715" t="s">
        <v>1592</v>
      </c>
      <c r="E84" s="1715" t="s">
        <v>1642</v>
      </c>
      <c r="F84" s="1715" t="s">
        <v>1650</v>
      </c>
      <c r="G84" s="1715" t="s">
        <v>1646</v>
      </c>
      <c r="H84" s="1719">
        <v>5000</v>
      </c>
    </row>
    <row r="85" spans="1:9" x14ac:dyDescent="0.25">
      <c r="A85" s="1715" t="s">
        <v>1646</v>
      </c>
      <c r="B85" s="1715" t="s">
        <v>1646</v>
      </c>
      <c r="C85" s="1716" t="s">
        <v>1646</v>
      </c>
      <c r="D85" s="1715" t="s">
        <v>1592</v>
      </c>
      <c r="E85" s="1715" t="s">
        <v>1642</v>
      </c>
      <c r="F85" s="1715" t="s">
        <v>1650</v>
      </c>
      <c r="G85" s="1715" t="s">
        <v>1654</v>
      </c>
      <c r="H85" s="1719">
        <v>5000</v>
      </c>
    </row>
    <row r="86" spans="1:9" x14ac:dyDescent="0.25">
      <c r="A86" s="1715" t="s">
        <v>1646</v>
      </c>
      <c r="B86" s="1715" t="s">
        <v>1646</v>
      </c>
      <c r="C86" s="1716" t="s">
        <v>1646</v>
      </c>
      <c r="D86" s="1715" t="s">
        <v>1592</v>
      </c>
      <c r="E86" s="1715" t="s">
        <v>1642</v>
      </c>
      <c r="F86" s="1715" t="s">
        <v>1650</v>
      </c>
      <c r="G86" s="1715" t="s">
        <v>1654</v>
      </c>
      <c r="H86" s="1719">
        <v>5000</v>
      </c>
    </row>
    <row r="87" spans="1:9" ht="47.25" x14ac:dyDescent="0.25">
      <c r="A87" s="1718" t="s">
        <v>1449</v>
      </c>
      <c r="B87" s="1718" t="s">
        <v>1672</v>
      </c>
      <c r="C87" s="1708" t="s">
        <v>1673</v>
      </c>
      <c r="D87" s="1715" t="s">
        <v>1646</v>
      </c>
      <c r="E87" s="1715" t="s">
        <v>1646</v>
      </c>
      <c r="F87" s="1715" t="s">
        <v>1646</v>
      </c>
      <c r="G87" s="1715" t="s">
        <v>1646</v>
      </c>
      <c r="H87" s="1717">
        <v>471954</v>
      </c>
      <c r="I87" s="1734"/>
    </row>
    <row r="88" spans="1:9" ht="78.75" x14ac:dyDescent="0.25">
      <c r="A88" s="1715" t="s">
        <v>1646</v>
      </c>
      <c r="B88" s="1715" t="s">
        <v>1674</v>
      </c>
      <c r="C88" s="1716" t="s">
        <v>1675</v>
      </c>
      <c r="D88" s="1715" t="s">
        <v>1646</v>
      </c>
      <c r="E88" s="1715" t="s">
        <v>1646</v>
      </c>
      <c r="F88" s="1715" t="s">
        <v>1646</v>
      </c>
      <c r="G88" s="1715" t="s">
        <v>1646</v>
      </c>
      <c r="H88" s="1719">
        <v>282718</v>
      </c>
    </row>
    <row r="89" spans="1:9" x14ac:dyDescent="0.25">
      <c r="A89" s="1715" t="s">
        <v>1646</v>
      </c>
      <c r="B89" s="1715" t="s">
        <v>1646</v>
      </c>
      <c r="C89" s="1716" t="s">
        <v>1646</v>
      </c>
      <c r="D89" s="1715" t="s">
        <v>1592</v>
      </c>
      <c r="E89" s="1715" t="s">
        <v>1646</v>
      </c>
      <c r="F89" s="1715" t="s">
        <v>1646</v>
      </c>
      <c r="G89" s="1715" t="s">
        <v>1646</v>
      </c>
      <c r="H89" s="1719">
        <v>282718</v>
      </c>
    </row>
    <row r="90" spans="1:9" x14ac:dyDescent="0.25">
      <c r="A90" s="1715" t="s">
        <v>1646</v>
      </c>
      <c r="B90" s="1715" t="s">
        <v>1646</v>
      </c>
      <c r="C90" s="1716" t="s">
        <v>1646</v>
      </c>
      <c r="D90" s="1715" t="s">
        <v>1592</v>
      </c>
      <c r="E90" s="1715" t="s">
        <v>1600</v>
      </c>
      <c r="F90" s="1715" t="s">
        <v>1646</v>
      </c>
      <c r="G90" s="1715" t="s">
        <v>1646</v>
      </c>
      <c r="H90" s="1719">
        <v>282718</v>
      </c>
      <c r="I90" s="1705" t="s">
        <v>1913</v>
      </c>
    </row>
    <row r="91" spans="1:9" x14ac:dyDescent="0.25">
      <c r="A91" s="1715" t="s">
        <v>1646</v>
      </c>
      <c r="B91" s="1715" t="s">
        <v>1646</v>
      </c>
      <c r="C91" s="1716" t="s">
        <v>1646</v>
      </c>
      <c r="D91" s="1715" t="s">
        <v>1592</v>
      </c>
      <c r="E91" s="1715" t="s">
        <v>1600</v>
      </c>
      <c r="F91" s="1715" t="s">
        <v>1603</v>
      </c>
      <c r="G91" s="1715" t="s">
        <v>1646</v>
      </c>
      <c r="H91" s="1719">
        <v>282718</v>
      </c>
    </row>
    <row r="92" spans="1:9" x14ac:dyDescent="0.25">
      <c r="A92" s="1715" t="s">
        <v>1646</v>
      </c>
      <c r="B92" s="1715" t="s">
        <v>1646</v>
      </c>
      <c r="C92" s="1716" t="s">
        <v>1646</v>
      </c>
      <c r="D92" s="1715" t="s">
        <v>1592</v>
      </c>
      <c r="E92" s="1715" t="s">
        <v>1600</v>
      </c>
      <c r="F92" s="1715" t="s">
        <v>1603</v>
      </c>
      <c r="G92" s="1715" t="s">
        <v>1595</v>
      </c>
      <c r="H92" s="1719">
        <v>255022</v>
      </c>
    </row>
    <row r="93" spans="1:9" x14ac:dyDescent="0.25">
      <c r="A93" s="1715" t="s">
        <v>1646</v>
      </c>
      <c r="B93" s="1715" t="s">
        <v>1646</v>
      </c>
      <c r="C93" s="1716" t="s">
        <v>1646</v>
      </c>
      <c r="D93" s="1715" t="s">
        <v>1592</v>
      </c>
      <c r="E93" s="1715" t="s">
        <v>1600</v>
      </c>
      <c r="F93" s="1715" t="s">
        <v>1603</v>
      </c>
      <c r="G93" s="1715" t="s">
        <v>1595</v>
      </c>
      <c r="H93" s="1719">
        <v>255022</v>
      </c>
    </row>
    <row r="94" spans="1:9" x14ac:dyDescent="0.25">
      <c r="A94" s="1715" t="s">
        <v>1646</v>
      </c>
      <c r="B94" s="1715" t="s">
        <v>1646</v>
      </c>
      <c r="C94" s="1716" t="s">
        <v>1646</v>
      </c>
      <c r="D94" s="1715" t="s">
        <v>1592</v>
      </c>
      <c r="E94" s="1715" t="s">
        <v>1600</v>
      </c>
      <c r="F94" s="1715" t="s">
        <v>1603</v>
      </c>
      <c r="G94" s="1715" t="s">
        <v>1597</v>
      </c>
      <c r="H94" s="1719">
        <v>27696</v>
      </c>
    </row>
    <row r="95" spans="1:9" x14ac:dyDescent="0.25">
      <c r="A95" s="1715" t="s">
        <v>1646</v>
      </c>
      <c r="B95" s="1715" t="s">
        <v>1646</v>
      </c>
      <c r="C95" s="1716" t="s">
        <v>1646</v>
      </c>
      <c r="D95" s="1715" t="s">
        <v>1592</v>
      </c>
      <c r="E95" s="1715" t="s">
        <v>1600</v>
      </c>
      <c r="F95" s="1715" t="s">
        <v>1603</v>
      </c>
      <c r="G95" s="1715" t="s">
        <v>1597</v>
      </c>
      <c r="H95" s="1719">
        <v>27696</v>
      </c>
    </row>
    <row r="96" spans="1:9" ht="126" x14ac:dyDescent="0.25">
      <c r="A96" s="1715" t="s">
        <v>1646</v>
      </c>
      <c r="B96" s="1715" t="s">
        <v>1676</v>
      </c>
      <c r="C96" s="1716" t="s">
        <v>1677</v>
      </c>
      <c r="D96" s="1715" t="s">
        <v>1646</v>
      </c>
      <c r="E96" s="1715" t="s">
        <v>1646</v>
      </c>
      <c r="F96" s="1715" t="s">
        <v>1646</v>
      </c>
      <c r="G96" s="1715" t="s">
        <v>1646</v>
      </c>
      <c r="H96" s="1719">
        <v>171319</v>
      </c>
    </row>
    <row r="97" spans="1:9" x14ac:dyDescent="0.25">
      <c r="A97" s="1715" t="s">
        <v>1646</v>
      </c>
      <c r="B97" s="1715" t="s">
        <v>1646</v>
      </c>
      <c r="C97" s="1716" t="s">
        <v>1646</v>
      </c>
      <c r="D97" s="1715" t="s">
        <v>1592</v>
      </c>
      <c r="E97" s="1715" t="s">
        <v>1646</v>
      </c>
      <c r="F97" s="1715" t="s">
        <v>1646</v>
      </c>
      <c r="G97" s="1715" t="s">
        <v>1646</v>
      </c>
      <c r="H97" s="1719">
        <v>171319</v>
      </c>
    </row>
    <row r="98" spans="1:9" x14ac:dyDescent="0.25">
      <c r="A98" s="1715" t="s">
        <v>1646</v>
      </c>
      <c r="B98" s="1715" t="s">
        <v>1646</v>
      </c>
      <c r="C98" s="1716" t="s">
        <v>1646</v>
      </c>
      <c r="D98" s="1715" t="s">
        <v>1592</v>
      </c>
      <c r="E98" s="1715" t="s">
        <v>1600</v>
      </c>
      <c r="F98" s="1715" t="s">
        <v>1646</v>
      </c>
      <c r="G98" s="1715" t="s">
        <v>1646</v>
      </c>
      <c r="H98" s="1719">
        <v>171319</v>
      </c>
      <c r="I98" s="1705" t="s">
        <v>1913</v>
      </c>
    </row>
    <row r="99" spans="1:9" x14ac:dyDescent="0.25">
      <c r="A99" s="1715" t="s">
        <v>1646</v>
      </c>
      <c r="B99" s="1715" t="s">
        <v>1646</v>
      </c>
      <c r="C99" s="1716" t="s">
        <v>1646</v>
      </c>
      <c r="D99" s="1715" t="s">
        <v>1592</v>
      </c>
      <c r="E99" s="1715" t="s">
        <v>1600</v>
      </c>
      <c r="F99" s="1715" t="s">
        <v>1606</v>
      </c>
      <c r="G99" s="1715" t="s">
        <v>1646</v>
      </c>
      <c r="H99" s="1719">
        <v>171319</v>
      </c>
    </row>
    <row r="100" spans="1:9" x14ac:dyDescent="0.25">
      <c r="A100" s="1715" t="s">
        <v>1646</v>
      </c>
      <c r="B100" s="1715" t="s">
        <v>1646</v>
      </c>
      <c r="C100" s="1716" t="s">
        <v>1646</v>
      </c>
      <c r="D100" s="1715" t="s">
        <v>1592</v>
      </c>
      <c r="E100" s="1715" t="s">
        <v>1600</v>
      </c>
      <c r="F100" s="1715" t="s">
        <v>1606</v>
      </c>
      <c r="G100" s="1715" t="s">
        <v>1609</v>
      </c>
      <c r="H100" s="1719">
        <v>20000</v>
      </c>
    </row>
    <row r="101" spans="1:9" x14ac:dyDescent="0.25">
      <c r="A101" s="1715" t="s">
        <v>1646</v>
      </c>
      <c r="B101" s="1715" t="s">
        <v>1646</v>
      </c>
      <c r="C101" s="1716" t="s">
        <v>1646</v>
      </c>
      <c r="D101" s="1715" t="s">
        <v>1592</v>
      </c>
      <c r="E101" s="1715" t="s">
        <v>1600</v>
      </c>
      <c r="F101" s="1715" t="s">
        <v>1606</v>
      </c>
      <c r="G101" s="1715" t="s">
        <v>1609</v>
      </c>
      <c r="H101" s="1719">
        <v>1700</v>
      </c>
    </row>
    <row r="102" spans="1:9" x14ac:dyDescent="0.25">
      <c r="A102" s="1715" t="s">
        <v>1646</v>
      </c>
      <c r="B102" s="1715" t="s">
        <v>1646</v>
      </c>
      <c r="C102" s="1716" t="s">
        <v>1646</v>
      </c>
      <c r="D102" s="1715" t="s">
        <v>1592</v>
      </c>
      <c r="E102" s="1715" t="s">
        <v>1600</v>
      </c>
      <c r="F102" s="1715" t="s">
        <v>1606</v>
      </c>
      <c r="G102" s="1715" t="s">
        <v>1609</v>
      </c>
      <c r="H102" s="1719">
        <v>3300</v>
      </c>
    </row>
    <row r="103" spans="1:9" x14ac:dyDescent="0.25">
      <c r="A103" s="1715" t="s">
        <v>1646</v>
      </c>
      <c r="B103" s="1715" t="s">
        <v>1646</v>
      </c>
      <c r="C103" s="1716" t="s">
        <v>1646</v>
      </c>
      <c r="D103" s="1715" t="s">
        <v>1592</v>
      </c>
      <c r="E103" s="1715" t="s">
        <v>1600</v>
      </c>
      <c r="F103" s="1715" t="s">
        <v>1606</v>
      </c>
      <c r="G103" s="1715" t="s">
        <v>1609</v>
      </c>
      <c r="H103" s="1719">
        <v>15000</v>
      </c>
    </row>
    <row r="104" spans="1:9" x14ac:dyDescent="0.25">
      <c r="A104" s="1715" t="s">
        <v>1646</v>
      </c>
      <c r="B104" s="1715" t="s">
        <v>1646</v>
      </c>
      <c r="C104" s="1716" t="s">
        <v>1646</v>
      </c>
      <c r="D104" s="1715" t="s">
        <v>1592</v>
      </c>
      <c r="E104" s="1715" t="s">
        <v>1600</v>
      </c>
      <c r="F104" s="1715" t="s">
        <v>1606</v>
      </c>
      <c r="G104" s="1715" t="s">
        <v>1660</v>
      </c>
      <c r="H104" s="1719">
        <v>3900</v>
      </c>
    </row>
    <row r="105" spans="1:9" x14ac:dyDescent="0.25">
      <c r="A105" s="1715" t="s">
        <v>1646</v>
      </c>
      <c r="B105" s="1715" t="s">
        <v>1646</v>
      </c>
      <c r="C105" s="1716" t="s">
        <v>1646</v>
      </c>
      <c r="D105" s="1715" t="s">
        <v>1592</v>
      </c>
      <c r="E105" s="1715" t="s">
        <v>1600</v>
      </c>
      <c r="F105" s="1715" t="s">
        <v>1606</v>
      </c>
      <c r="G105" s="1715" t="s">
        <v>1660</v>
      </c>
      <c r="H105" s="1719">
        <v>1800</v>
      </c>
    </row>
    <row r="106" spans="1:9" x14ac:dyDescent="0.25">
      <c r="A106" s="1715" t="s">
        <v>1646</v>
      </c>
      <c r="B106" s="1715" t="s">
        <v>1646</v>
      </c>
      <c r="C106" s="1716" t="s">
        <v>1646</v>
      </c>
      <c r="D106" s="1715" t="s">
        <v>1592</v>
      </c>
      <c r="E106" s="1715" t="s">
        <v>1600</v>
      </c>
      <c r="F106" s="1715" t="s">
        <v>1606</v>
      </c>
      <c r="G106" s="1715" t="s">
        <v>1660</v>
      </c>
      <c r="H106" s="1719">
        <v>2100</v>
      </c>
    </row>
    <row r="107" spans="1:9" x14ac:dyDescent="0.25">
      <c r="A107" s="1715" t="s">
        <v>1646</v>
      </c>
      <c r="B107" s="1715" t="s">
        <v>1646</v>
      </c>
      <c r="C107" s="1716" t="s">
        <v>1646</v>
      </c>
      <c r="D107" s="1715" t="s">
        <v>1592</v>
      </c>
      <c r="E107" s="1715" t="s">
        <v>1600</v>
      </c>
      <c r="F107" s="1715" t="s">
        <v>1606</v>
      </c>
      <c r="G107" s="1715" t="s">
        <v>1654</v>
      </c>
      <c r="H107" s="1719">
        <v>9000</v>
      </c>
    </row>
    <row r="108" spans="1:9" x14ac:dyDescent="0.25">
      <c r="A108" s="1715" t="s">
        <v>1646</v>
      </c>
      <c r="B108" s="1715" t="s">
        <v>1646</v>
      </c>
      <c r="C108" s="1716" t="s">
        <v>1646</v>
      </c>
      <c r="D108" s="1715" t="s">
        <v>1592</v>
      </c>
      <c r="E108" s="1715" t="s">
        <v>1600</v>
      </c>
      <c r="F108" s="1715" t="s">
        <v>1606</v>
      </c>
      <c r="G108" s="1715" t="s">
        <v>1654</v>
      </c>
      <c r="H108" s="1719">
        <v>9000</v>
      </c>
    </row>
    <row r="109" spans="1:9" x14ac:dyDescent="0.25">
      <c r="A109" s="1715" t="s">
        <v>1646</v>
      </c>
      <c r="B109" s="1715" t="s">
        <v>1646</v>
      </c>
      <c r="C109" s="1716" t="s">
        <v>1646</v>
      </c>
      <c r="D109" s="1715" t="s">
        <v>1592</v>
      </c>
      <c r="E109" s="1715" t="s">
        <v>1600</v>
      </c>
      <c r="F109" s="1715" t="s">
        <v>1606</v>
      </c>
      <c r="G109" s="1715" t="s">
        <v>1618</v>
      </c>
      <c r="H109" s="1719">
        <v>138419</v>
      </c>
    </row>
    <row r="110" spans="1:9" x14ac:dyDescent="0.25">
      <c r="A110" s="1715" t="s">
        <v>1646</v>
      </c>
      <c r="B110" s="1715" t="s">
        <v>1646</v>
      </c>
      <c r="C110" s="1716" t="s">
        <v>1646</v>
      </c>
      <c r="D110" s="1715" t="s">
        <v>1592</v>
      </c>
      <c r="E110" s="1715" t="s">
        <v>1600</v>
      </c>
      <c r="F110" s="1715" t="s">
        <v>1606</v>
      </c>
      <c r="G110" s="1715" t="s">
        <v>1618</v>
      </c>
      <c r="H110" s="1719">
        <v>34889</v>
      </c>
    </row>
    <row r="111" spans="1:9" x14ac:dyDescent="0.25">
      <c r="A111" s="1715" t="s">
        <v>1646</v>
      </c>
      <c r="B111" s="1715" t="s">
        <v>1646</v>
      </c>
      <c r="C111" s="1716" t="s">
        <v>1646</v>
      </c>
      <c r="D111" s="1715" t="s">
        <v>1592</v>
      </c>
      <c r="E111" s="1715" t="s">
        <v>1600</v>
      </c>
      <c r="F111" s="1715" t="s">
        <v>1606</v>
      </c>
      <c r="G111" s="1715" t="s">
        <v>1618</v>
      </c>
      <c r="H111" s="1719">
        <v>103530</v>
      </c>
    </row>
    <row r="112" spans="1:9" ht="126" x14ac:dyDescent="0.25">
      <c r="A112" s="1715" t="s">
        <v>1646</v>
      </c>
      <c r="B112" s="1715" t="s">
        <v>1678</v>
      </c>
      <c r="C112" s="1716" t="s">
        <v>1679</v>
      </c>
      <c r="D112" s="1715" t="s">
        <v>1646</v>
      </c>
      <c r="E112" s="1715" t="s">
        <v>1646</v>
      </c>
      <c r="F112" s="1715" t="s">
        <v>1646</v>
      </c>
      <c r="G112" s="1715" t="s">
        <v>1646</v>
      </c>
      <c r="H112" s="1719">
        <v>13850</v>
      </c>
    </row>
    <row r="113" spans="1:9" x14ac:dyDescent="0.25">
      <c r="A113" s="1715" t="s">
        <v>1646</v>
      </c>
      <c r="B113" s="1715" t="s">
        <v>1646</v>
      </c>
      <c r="C113" s="1716" t="s">
        <v>1646</v>
      </c>
      <c r="D113" s="1715" t="s">
        <v>1592</v>
      </c>
      <c r="E113" s="1715" t="s">
        <v>1646</v>
      </c>
      <c r="F113" s="1715" t="s">
        <v>1646</v>
      </c>
      <c r="G113" s="1715" t="s">
        <v>1646</v>
      </c>
      <c r="H113" s="1719">
        <v>13850</v>
      </c>
      <c r="I113" s="1705" t="s">
        <v>1914</v>
      </c>
    </row>
    <row r="114" spans="1:9" x14ac:dyDescent="0.25">
      <c r="A114" s="1715" t="s">
        <v>1646</v>
      </c>
      <c r="B114" s="1715" t="s">
        <v>1646</v>
      </c>
      <c r="C114" s="1716" t="s">
        <v>1646</v>
      </c>
      <c r="D114" s="1715" t="s">
        <v>1592</v>
      </c>
      <c r="E114" s="1715" t="s">
        <v>1642</v>
      </c>
      <c r="F114" s="1715" t="s">
        <v>1646</v>
      </c>
      <c r="G114" s="1715" t="s">
        <v>1646</v>
      </c>
      <c r="H114" s="1719">
        <v>13850</v>
      </c>
    </row>
    <row r="115" spans="1:9" x14ac:dyDescent="0.25">
      <c r="A115" s="1715" t="s">
        <v>1646</v>
      </c>
      <c r="B115" s="1715" t="s">
        <v>1646</v>
      </c>
      <c r="C115" s="1716" t="s">
        <v>1646</v>
      </c>
      <c r="D115" s="1715" t="s">
        <v>1592</v>
      </c>
      <c r="E115" s="1715" t="s">
        <v>1642</v>
      </c>
      <c r="F115" s="1715" t="s">
        <v>1650</v>
      </c>
      <c r="G115" s="1715" t="s">
        <v>1646</v>
      </c>
      <c r="H115" s="1719">
        <v>13850</v>
      </c>
    </row>
    <row r="116" spans="1:9" x14ac:dyDescent="0.25">
      <c r="A116" s="1715" t="s">
        <v>1646</v>
      </c>
      <c r="B116" s="1715" t="s">
        <v>1646</v>
      </c>
      <c r="C116" s="1716" t="s">
        <v>1646</v>
      </c>
      <c r="D116" s="1715" t="s">
        <v>1592</v>
      </c>
      <c r="E116" s="1715" t="s">
        <v>1642</v>
      </c>
      <c r="F116" s="1715" t="s">
        <v>1650</v>
      </c>
      <c r="G116" s="1715" t="s">
        <v>1623</v>
      </c>
      <c r="H116" s="1719">
        <v>8350</v>
      </c>
    </row>
    <row r="117" spans="1:9" x14ac:dyDescent="0.25">
      <c r="A117" s="1715" t="s">
        <v>1646</v>
      </c>
      <c r="B117" s="1715" t="s">
        <v>1646</v>
      </c>
      <c r="C117" s="1716" t="s">
        <v>1646</v>
      </c>
      <c r="D117" s="1715" t="s">
        <v>1592</v>
      </c>
      <c r="E117" s="1715" t="s">
        <v>1642</v>
      </c>
      <c r="F117" s="1715" t="s">
        <v>1650</v>
      </c>
      <c r="G117" s="1715" t="s">
        <v>1623</v>
      </c>
      <c r="H117" s="1719">
        <v>8350</v>
      </c>
    </row>
    <row r="118" spans="1:9" x14ac:dyDescent="0.25">
      <c r="A118" s="1715" t="s">
        <v>1646</v>
      </c>
      <c r="B118" s="1715" t="s">
        <v>1646</v>
      </c>
      <c r="C118" s="1716" t="s">
        <v>1646</v>
      </c>
      <c r="D118" s="1715" t="s">
        <v>1592</v>
      </c>
      <c r="E118" s="1715" t="s">
        <v>1642</v>
      </c>
      <c r="F118" s="1715" t="s">
        <v>1650</v>
      </c>
      <c r="G118" s="1715" t="s">
        <v>1602</v>
      </c>
      <c r="H118" s="1719">
        <v>5500</v>
      </c>
    </row>
    <row r="119" spans="1:9" x14ac:dyDescent="0.25">
      <c r="A119" s="1715" t="s">
        <v>1646</v>
      </c>
      <c r="B119" s="1715" t="s">
        <v>1646</v>
      </c>
      <c r="C119" s="1716" t="s">
        <v>1646</v>
      </c>
      <c r="D119" s="1715" t="s">
        <v>1592</v>
      </c>
      <c r="E119" s="1715" t="s">
        <v>1642</v>
      </c>
      <c r="F119" s="1715" t="s">
        <v>1650</v>
      </c>
      <c r="G119" s="1715" t="s">
        <v>1602</v>
      </c>
      <c r="H119" s="1719">
        <v>5500</v>
      </c>
    </row>
    <row r="120" spans="1:9" ht="78.75" x14ac:dyDescent="0.25">
      <c r="A120" s="1715" t="s">
        <v>1646</v>
      </c>
      <c r="B120" s="1715" t="s">
        <v>1681</v>
      </c>
      <c r="C120" s="1716" t="s">
        <v>1682</v>
      </c>
      <c r="D120" s="1715" t="s">
        <v>1646</v>
      </c>
      <c r="E120" s="1715" t="s">
        <v>1646</v>
      </c>
      <c r="F120" s="1715" t="s">
        <v>1646</v>
      </c>
      <c r="G120" s="1715" t="s">
        <v>1646</v>
      </c>
      <c r="H120" s="1719">
        <v>4067</v>
      </c>
    </row>
    <row r="121" spans="1:9" x14ac:dyDescent="0.25">
      <c r="A121" s="1715" t="s">
        <v>1646</v>
      </c>
      <c r="B121" s="1715" t="s">
        <v>1646</v>
      </c>
      <c r="C121" s="1716" t="s">
        <v>1646</v>
      </c>
      <c r="D121" s="1715" t="s">
        <v>1592</v>
      </c>
      <c r="E121" s="1715" t="s">
        <v>1646</v>
      </c>
      <c r="F121" s="1715" t="s">
        <v>1646</v>
      </c>
      <c r="G121" s="1715" t="s">
        <v>1646</v>
      </c>
      <c r="H121" s="1719">
        <v>4067</v>
      </c>
      <c r="I121" s="1705" t="s">
        <v>1913</v>
      </c>
    </row>
    <row r="122" spans="1:9" x14ac:dyDescent="0.25">
      <c r="A122" s="1715" t="s">
        <v>1646</v>
      </c>
      <c r="B122" s="1715" t="s">
        <v>1646</v>
      </c>
      <c r="C122" s="1716" t="s">
        <v>1646</v>
      </c>
      <c r="D122" s="1715" t="s">
        <v>1592</v>
      </c>
      <c r="E122" s="1715" t="s">
        <v>1600</v>
      </c>
      <c r="F122" s="1715" t="s">
        <v>1646</v>
      </c>
      <c r="G122" s="1715" t="s">
        <v>1646</v>
      </c>
      <c r="H122" s="1719">
        <v>4067</v>
      </c>
    </row>
    <row r="123" spans="1:9" x14ac:dyDescent="0.25">
      <c r="A123" s="1715" t="s">
        <v>1646</v>
      </c>
      <c r="B123" s="1715" t="s">
        <v>1646</v>
      </c>
      <c r="C123" s="1716" t="s">
        <v>1646</v>
      </c>
      <c r="D123" s="1715" t="s">
        <v>1592</v>
      </c>
      <c r="E123" s="1715" t="s">
        <v>1600</v>
      </c>
      <c r="F123" s="1715" t="s">
        <v>1603</v>
      </c>
      <c r="G123" s="1715" t="s">
        <v>1646</v>
      </c>
      <c r="H123" s="1719">
        <v>4067</v>
      </c>
    </row>
    <row r="124" spans="1:9" x14ac:dyDescent="0.25">
      <c r="A124" s="1715" t="s">
        <v>1646</v>
      </c>
      <c r="B124" s="1715" t="s">
        <v>1646</v>
      </c>
      <c r="C124" s="1716" t="s">
        <v>1646</v>
      </c>
      <c r="D124" s="1715" t="s">
        <v>1592</v>
      </c>
      <c r="E124" s="1715" t="s">
        <v>1600</v>
      </c>
      <c r="F124" s="1715" t="s">
        <v>1603</v>
      </c>
      <c r="G124" s="1715" t="s">
        <v>1595</v>
      </c>
      <c r="H124" s="1719">
        <v>1375</v>
      </c>
    </row>
    <row r="125" spans="1:9" x14ac:dyDescent="0.25">
      <c r="A125" s="1715" t="s">
        <v>1646</v>
      </c>
      <c r="B125" s="1715" t="s">
        <v>1646</v>
      </c>
      <c r="C125" s="1716" t="s">
        <v>1646</v>
      </c>
      <c r="D125" s="1715" t="s">
        <v>1592</v>
      </c>
      <c r="E125" s="1715" t="s">
        <v>1600</v>
      </c>
      <c r="F125" s="1715" t="s">
        <v>1603</v>
      </c>
      <c r="G125" s="1715" t="s">
        <v>1595</v>
      </c>
      <c r="H125" s="1719">
        <v>1375</v>
      </c>
    </row>
    <row r="126" spans="1:9" x14ac:dyDescent="0.25">
      <c r="A126" s="1715" t="s">
        <v>1646</v>
      </c>
      <c r="B126" s="1715" t="s">
        <v>1646</v>
      </c>
      <c r="C126" s="1716" t="s">
        <v>1646</v>
      </c>
      <c r="D126" s="1715" t="s">
        <v>1592</v>
      </c>
      <c r="E126" s="1715" t="s">
        <v>1600</v>
      </c>
      <c r="F126" s="1715" t="s">
        <v>1603</v>
      </c>
      <c r="G126" s="1715" t="s">
        <v>1597</v>
      </c>
      <c r="H126" s="1719">
        <v>2692</v>
      </c>
    </row>
    <row r="127" spans="1:9" x14ac:dyDescent="0.25">
      <c r="A127" s="1715" t="s">
        <v>1646</v>
      </c>
      <c r="B127" s="1715" t="s">
        <v>1646</v>
      </c>
      <c r="C127" s="1716" t="s">
        <v>1646</v>
      </c>
      <c r="D127" s="1715" t="s">
        <v>1592</v>
      </c>
      <c r="E127" s="1715" t="s">
        <v>1600</v>
      </c>
      <c r="F127" s="1715" t="s">
        <v>1603</v>
      </c>
      <c r="G127" s="1715" t="s">
        <v>1597</v>
      </c>
      <c r="H127" s="1719">
        <v>2692</v>
      </c>
    </row>
    <row r="128" spans="1:9" ht="110.25" x14ac:dyDescent="0.25">
      <c r="A128" s="1715" t="s">
        <v>1646</v>
      </c>
      <c r="B128" s="1715" t="s">
        <v>1683</v>
      </c>
      <c r="C128" s="1716" t="s">
        <v>1684</v>
      </c>
      <c r="D128" s="1715" t="s">
        <v>1646</v>
      </c>
      <c r="E128" s="1715" t="s">
        <v>1646</v>
      </c>
      <c r="F128" s="1715" t="s">
        <v>1646</v>
      </c>
      <c r="G128" s="1715" t="s">
        <v>1646</v>
      </c>
      <c r="H128" s="1719">
        <v>0</v>
      </c>
    </row>
    <row r="129" spans="1:9" x14ac:dyDescent="0.25">
      <c r="A129" s="1715" t="s">
        <v>1646</v>
      </c>
      <c r="B129" s="1715" t="s">
        <v>1646</v>
      </c>
      <c r="C129" s="1716" t="s">
        <v>1646</v>
      </c>
      <c r="D129" s="1715" t="s">
        <v>1592</v>
      </c>
      <c r="E129" s="1715" t="s">
        <v>1646</v>
      </c>
      <c r="F129" s="1715" t="s">
        <v>1646</v>
      </c>
      <c r="G129" s="1715" t="s">
        <v>1646</v>
      </c>
      <c r="H129" s="1719">
        <v>0</v>
      </c>
    </row>
    <row r="130" spans="1:9" x14ac:dyDescent="0.25">
      <c r="A130" s="1715" t="s">
        <v>1646</v>
      </c>
      <c r="B130" s="1715" t="s">
        <v>1646</v>
      </c>
      <c r="C130" s="1716" t="s">
        <v>1646</v>
      </c>
      <c r="D130" s="1715" t="s">
        <v>1592</v>
      </c>
      <c r="E130" s="1715" t="s">
        <v>1600</v>
      </c>
      <c r="F130" s="1715" t="s">
        <v>1646</v>
      </c>
      <c r="G130" s="1715" t="s">
        <v>1646</v>
      </c>
      <c r="H130" s="1719">
        <v>0</v>
      </c>
    </row>
    <row r="131" spans="1:9" x14ac:dyDescent="0.25">
      <c r="A131" s="1715" t="s">
        <v>1646</v>
      </c>
      <c r="B131" s="1715" t="s">
        <v>1646</v>
      </c>
      <c r="C131" s="1716" t="s">
        <v>1646</v>
      </c>
      <c r="D131" s="1715" t="s">
        <v>1592</v>
      </c>
      <c r="E131" s="1715" t="s">
        <v>1600</v>
      </c>
      <c r="F131" s="1715" t="s">
        <v>1606</v>
      </c>
      <c r="G131" s="1715" t="s">
        <v>1646</v>
      </c>
      <c r="H131" s="1719">
        <v>0</v>
      </c>
    </row>
    <row r="132" spans="1:9" ht="110.25" x14ac:dyDescent="0.25">
      <c r="A132" s="1715" t="s">
        <v>1646</v>
      </c>
      <c r="B132" s="1715" t="s">
        <v>1685</v>
      </c>
      <c r="C132" s="1716" t="s">
        <v>1686</v>
      </c>
      <c r="D132" s="1715" t="s">
        <v>1646</v>
      </c>
      <c r="E132" s="1715" t="s">
        <v>1646</v>
      </c>
      <c r="F132" s="1715" t="s">
        <v>1646</v>
      </c>
      <c r="G132" s="1715" t="s">
        <v>1646</v>
      </c>
      <c r="H132" s="1719">
        <v>0</v>
      </c>
    </row>
    <row r="133" spans="1:9" x14ac:dyDescent="0.25">
      <c r="A133" s="1715" t="s">
        <v>1646</v>
      </c>
      <c r="B133" s="1715" t="s">
        <v>1646</v>
      </c>
      <c r="C133" s="1716" t="s">
        <v>1646</v>
      </c>
      <c r="D133" s="1715" t="s">
        <v>1592</v>
      </c>
      <c r="E133" s="1715" t="s">
        <v>1646</v>
      </c>
      <c r="F133" s="1715" t="s">
        <v>1646</v>
      </c>
      <c r="G133" s="1715" t="s">
        <v>1646</v>
      </c>
      <c r="H133" s="1719">
        <v>0</v>
      </c>
    </row>
    <row r="134" spans="1:9" x14ac:dyDescent="0.25">
      <c r="A134" s="1715" t="s">
        <v>1646</v>
      </c>
      <c r="B134" s="1715" t="s">
        <v>1646</v>
      </c>
      <c r="C134" s="1716" t="s">
        <v>1646</v>
      </c>
      <c r="D134" s="1715" t="s">
        <v>1592</v>
      </c>
      <c r="E134" s="1715" t="s">
        <v>1642</v>
      </c>
      <c r="F134" s="1715" t="s">
        <v>1646</v>
      </c>
      <c r="G134" s="1715" t="s">
        <v>1646</v>
      </c>
      <c r="H134" s="1719">
        <v>0</v>
      </c>
    </row>
    <row r="135" spans="1:9" x14ac:dyDescent="0.25">
      <c r="A135" s="1715" t="s">
        <v>1646</v>
      </c>
      <c r="B135" s="1715" t="s">
        <v>1646</v>
      </c>
      <c r="C135" s="1716" t="s">
        <v>1646</v>
      </c>
      <c r="D135" s="1715" t="s">
        <v>1592</v>
      </c>
      <c r="E135" s="1715" t="s">
        <v>1642</v>
      </c>
      <c r="F135" s="1715" t="s">
        <v>1650</v>
      </c>
      <c r="G135" s="1715" t="s">
        <v>1646</v>
      </c>
      <c r="H135" s="1719">
        <v>0</v>
      </c>
    </row>
    <row r="136" spans="1:9" ht="94.5" x14ac:dyDescent="0.25">
      <c r="A136" s="1718" t="s">
        <v>1451</v>
      </c>
      <c r="B136" s="1718" t="s">
        <v>1687</v>
      </c>
      <c r="C136" s="1708" t="s">
        <v>1688</v>
      </c>
      <c r="D136" s="1715" t="s">
        <v>1646</v>
      </c>
      <c r="E136" s="1715" t="s">
        <v>1646</v>
      </c>
      <c r="F136" s="1715" t="s">
        <v>1646</v>
      </c>
      <c r="G136" s="1715" t="s">
        <v>1646</v>
      </c>
      <c r="H136" s="1717">
        <v>265610</v>
      </c>
    </row>
    <row r="137" spans="1:9" ht="47.25" x14ac:dyDescent="0.25">
      <c r="A137" s="1715" t="s">
        <v>1646</v>
      </c>
      <c r="B137" s="1715" t="s">
        <v>1689</v>
      </c>
      <c r="C137" s="1716" t="s">
        <v>1690</v>
      </c>
      <c r="D137" s="1715" t="s">
        <v>1646</v>
      </c>
      <c r="E137" s="1715" t="s">
        <v>1646</v>
      </c>
      <c r="F137" s="1715" t="s">
        <v>1646</v>
      </c>
      <c r="G137" s="1715" t="s">
        <v>1646</v>
      </c>
      <c r="H137" s="1719">
        <v>13880</v>
      </c>
    </row>
    <row r="138" spans="1:9" x14ac:dyDescent="0.25">
      <c r="A138" s="1715" t="s">
        <v>1646</v>
      </c>
      <c r="B138" s="1715" t="s">
        <v>1646</v>
      </c>
      <c r="C138" s="1716" t="s">
        <v>1646</v>
      </c>
      <c r="D138" s="1715" t="s">
        <v>1592</v>
      </c>
      <c r="E138" s="1715" t="s">
        <v>1646</v>
      </c>
      <c r="F138" s="1715" t="s">
        <v>1646</v>
      </c>
      <c r="G138" s="1715" t="s">
        <v>1646</v>
      </c>
      <c r="H138" s="1719">
        <v>13880</v>
      </c>
      <c r="I138" s="1705" t="s">
        <v>1916</v>
      </c>
    </row>
    <row r="139" spans="1:9" x14ac:dyDescent="0.25">
      <c r="A139" s="1715" t="s">
        <v>1646</v>
      </c>
      <c r="B139" s="1715" t="s">
        <v>1646</v>
      </c>
      <c r="C139" s="1716" t="s">
        <v>1646</v>
      </c>
      <c r="D139" s="1715" t="s">
        <v>1592</v>
      </c>
      <c r="E139" s="1715" t="s">
        <v>1593</v>
      </c>
      <c r="F139" s="1715" t="s">
        <v>1646</v>
      </c>
      <c r="G139" s="1715" t="s">
        <v>1646</v>
      </c>
      <c r="H139" s="1719">
        <v>13880</v>
      </c>
    </row>
    <row r="140" spans="1:9" x14ac:dyDescent="0.25">
      <c r="A140" s="1715" t="s">
        <v>1646</v>
      </c>
      <c r="B140" s="1715" t="s">
        <v>1646</v>
      </c>
      <c r="C140" s="1716" t="s">
        <v>1646</v>
      </c>
      <c r="D140" s="1715" t="s">
        <v>1592</v>
      </c>
      <c r="E140" s="1715" t="s">
        <v>1593</v>
      </c>
      <c r="F140" s="1715" t="s">
        <v>1691</v>
      </c>
      <c r="G140" s="1715" t="s">
        <v>1646</v>
      </c>
      <c r="H140" s="1719">
        <v>13880</v>
      </c>
    </row>
    <row r="141" spans="1:9" x14ac:dyDescent="0.25">
      <c r="A141" s="1715" t="s">
        <v>1646</v>
      </c>
      <c r="B141" s="1715" t="s">
        <v>1646</v>
      </c>
      <c r="C141" s="1716" t="s">
        <v>1646</v>
      </c>
      <c r="D141" s="1715" t="s">
        <v>1592</v>
      </c>
      <c r="E141" s="1715" t="s">
        <v>1593</v>
      </c>
      <c r="F141" s="1715" t="s">
        <v>1691</v>
      </c>
      <c r="G141" s="1715" t="s">
        <v>1692</v>
      </c>
      <c r="H141" s="1719">
        <v>13880</v>
      </c>
    </row>
    <row r="142" spans="1:9" x14ac:dyDescent="0.25">
      <c r="A142" s="1715" t="s">
        <v>1646</v>
      </c>
      <c r="B142" s="1715" t="s">
        <v>1646</v>
      </c>
      <c r="C142" s="1716" t="s">
        <v>1646</v>
      </c>
      <c r="D142" s="1715" t="s">
        <v>1592</v>
      </c>
      <c r="E142" s="1715" t="s">
        <v>1593</v>
      </c>
      <c r="F142" s="1715" t="s">
        <v>1691</v>
      </c>
      <c r="G142" s="1715" t="s">
        <v>1692</v>
      </c>
      <c r="H142" s="1719">
        <v>13880</v>
      </c>
    </row>
    <row r="143" spans="1:9" ht="63" x14ac:dyDescent="0.25">
      <c r="A143" s="1715" t="s">
        <v>1646</v>
      </c>
      <c r="B143" s="1715" t="s">
        <v>1694</v>
      </c>
      <c r="C143" s="1716" t="s">
        <v>1695</v>
      </c>
      <c r="D143" s="1715" t="s">
        <v>1646</v>
      </c>
      <c r="E143" s="1715" t="s">
        <v>1646</v>
      </c>
      <c r="F143" s="1715" t="s">
        <v>1646</v>
      </c>
      <c r="G143" s="1715" t="s">
        <v>1646</v>
      </c>
      <c r="H143" s="1719">
        <v>49000</v>
      </c>
    </row>
    <row r="144" spans="1:9" x14ac:dyDescent="0.25">
      <c r="A144" s="1715" t="s">
        <v>1646</v>
      </c>
      <c r="B144" s="1715" t="s">
        <v>1646</v>
      </c>
      <c r="C144" s="1716" t="s">
        <v>1646</v>
      </c>
      <c r="D144" s="1715" t="s">
        <v>1592</v>
      </c>
      <c r="E144" s="1715" t="s">
        <v>1646</v>
      </c>
      <c r="F144" s="1715" t="s">
        <v>1646</v>
      </c>
      <c r="G144" s="1715" t="s">
        <v>1646</v>
      </c>
      <c r="H144" s="1719">
        <v>49000</v>
      </c>
    </row>
    <row r="145" spans="1:9" x14ac:dyDescent="0.25">
      <c r="A145" s="1715" t="s">
        <v>1646</v>
      </c>
      <c r="B145" s="1715" t="s">
        <v>1646</v>
      </c>
      <c r="C145" s="1716" t="s">
        <v>1646</v>
      </c>
      <c r="D145" s="1715" t="s">
        <v>1592</v>
      </c>
      <c r="E145" s="1715" t="s">
        <v>1620</v>
      </c>
      <c r="F145" s="1715" t="s">
        <v>1646</v>
      </c>
      <c r="G145" s="1715" t="s">
        <v>1646</v>
      </c>
      <c r="H145" s="1719">
        <v>49000</v>
      </c>
      <c r="I145" s="1705" t="s">
        <v>1915</v>
      </c>
    </row>
    <row r="146" spans="1:9" x14ac:dyDescent="0.25">
      <c r="A146" s="1715" t="s">
        <v>1646</v>
      </c>
      <c r="B146" s="1715" t="s">
        <v>1646</v>
      </c>
      <c r="C146" s="1716" t="s">
        <v>1646</v>
      </c>
      <c r="D146" s="1715" t="s">
        <v>1592</v>
      </c>
      <c r="E146" s="1715" t="s">
        <v>1620</v>
      </c>
      <c r="F146" s="1715" t="s">
        <v>1629</v>
      </c>
      <c r="G146" s="1715" t="s">
        <v>1646</v>
      </c>
      <c r="H146" s="1719">
        <v>49000</v>
      </c>
    </row>
    <row r="147" spans="1:9" x14ac:dyDescent="0.25">
      <c r="A147" s="1715" t="s">
        <v>1646</v>
      </c>
      <c r="B147" s="1715" t="s">
        <v>1646</v>
      </c>
      <c r="C147" s="1716" t="s">
        <v>1646</v>
      </c>
      <c r="D147" s="1715" t="s">
        <v>1592</v>
      </c>
      <c r="E147" s="1715" t="s">
        <v>1620</v>
      </c>
      <c r="F147" s="1715" t="s">
        <v>1629</v>
      </c>
      <c r="G147" s="1715" t="s">
        <v>1615</v>
      </c>
      <c r="H147" s="1719">
        <v>49000</v>
      </c>
    </row>
    <row r="148" spans="1:9" x14ac:dyDescent="0.25">
      <c r="A148" s="1715" t="s">
        <v>1646</v>
      </c>
      <c r="B148" s="1715" t="s">
        <v>1646</v>
      </c>
      <c r="C148" s="1716" t="s">
        <v>1646</v>
      </c>
      <c r="D148" s="1715" t="s">
        <v>1592</v>
      </c>
      <c r="E148" s="1715" t="s">
        <v>1620</v>
      </c>
      <c r="F148" s="1715" t="s">
        <v>1629</v>
      </c>
      <c r="G148" s="1715" t="s">
        <v>1615</v>
      </c>
      <c r="H148" s="1719">
        <v>49000</v>
      </c>
    </row>
    <row r="149" spans="1:9" ht="94.5" x14ac:dyDescent="0.25">
      <c r="A149" s="1715" t="s">
        <v>1646</v>
      </c>
      <c r="B149" s="1715" t="s">
        <v>1696</v>
      </c>
      <c r="C149" s="1716" t="s">
        <v>1697</v>
      </c>
      <c r="D149" s="1715" t="s">
        <v>1646</v>
      </c>
      <c r="E149" s="1715" t="s">
        <v>1646</v>
      </c>
      <c r="F149" s="1715" t="s">
        <v>1646</v>
      </c>
      <c r="G149" s="1715" t="s">
        <v>1646</v>
      </c>
      <c r="H149" s="1719">
        <v>190000</v>
      </c>
    </row>
    <row r="150" spans="1:9" x14ac:dyDescent="0.25">
      <c r="A150" s="1715" t="s">
        <v>1646</v>
      </c>
      <c r="B150" s="1715" t="s">
        <v>1646</v>
      </c>
      <c r="C150" s="1716" t="s">
        <v>1646</v>
      </c>
      <c r="D150" s="1715" t="s">
        <v>1592</v>
      </c>
      <c r="E150" s="1715" t="s">
        <v>1646</v>
      </c>
      <c r="F150" s="1715" t="s">
        <v>1646</v>
      </c>
      <c r="G150" s="1715" t="s">
        <v>1646</v>
      </c>
      <c r="H150" s="1719">
        <v>190000</v>
      </c>
    </row>
    <row r="151" spans="1:9" x14ac:dyDescent="0.25">
      <c r="A151" s="1715" t="s">
        <v>1646</v>
      </c>
      <c r="B151" s="1715" t="s">
        <v>1646</v>
      </c>
      <c r="C151" s="1716" t="s">
        <v>1646</v>
      </c>
      <c r="D151" s="1715" t="s">
        <v>1592</v>
      </c>
      <c r="E151" s="1715" t="s">
        <v>1642</v>
      </c>
      <c r="F151" s="1715" t="s">
        <v>1646</v>
      </c>
      <c r="G151" s="1715" t="s">
        <v>1646</v>
      </c>
      <c r="H151" s="1719">
        <v>190000</v>
      </c>
      <c r="I151" s="1705" t="s">
        <v>1914</v>
      </c>
    </row>
    <row r="152" spans="1:9" x14ac:dyDescent="0.25">
      <c r="A152" s="1715" t="s">
        <v>1646</v>
      </c>
      <c r="B152" s="1715" t="s">
        <v>1646</v>
      </c>
      <c r="C152" s="1716" t="s">
        <v>1646</v>
      </c>
      <c r="D152" s="1715" t="s">
        <v>1592</v>
      </c>
      <c r="E152" s="1715" t="s">
        <v>1642</v>
      </c>
      <c r="F152" s="1715" t="s">
        <v>1650</v>
      </c>
      <c r="G152" s="1715" t="s">
        <v>1646</v>
      </c>
      <c r="H152" s="1719">
        <v>190000</v>
      </c>
    </row>
    <row r="153" spans="1:9" x14ac:dyDescent="0.25">
      <c r="A153" s="1715" t="s">
        <v>1646</v>
      </c>
      <c r="B153" s="1715" t="s">
        <v>1646</v>
      </c>
      <c r="C153" s="1716" t="s">
        <v>1646</v>
      </c>
      <c r="D153" s="1715" t="s">
        <v>1592</v>
      </c>
      <c r="E153" s="1715" t="s">
        <v>1642</v>
      </c>
      <c r="F153" s="1715" t="s">
        <v>1650</v>
      </c>
      <c r="G153" s="1715" t="s">
        <v>1660</v>
      </c>
      <c r="H153" s="1719">
        <v>152000</v>
      </c>
    </row>
    <row r="154" spans="1:9" x14ac:dyDescent="0.25">
      <c r="A154" s="1715" t="s">
        <v>1646</v>
      </c>
      <c r="B154" s="1715" t="s">
        <v>1646</v>
      </c>
      <c r="C154" s="1716" t="s">
        <v>1646</v>
      </c>
      <c r="D154" s="1715" t="s">
        <v>1592</v>
      </c>
      <c r="E154" s="1715" t="s">
        <v>1642</v>
      </c>
      <c r="F154" s="1715" t="s">
        <v>1650</v>
      </c>
      <c r="G154" s="1715" t="s">
        <v>1660</v>
      </c>
      <c r="H154" s="1719">
        <v>11200</v>
      </c>
    </row>
    <row r="155" spans="1:9" x14ac:dyDescent="0.25">
      <c r="A155" s="1715" t="s">
        <v>1646</v>
      </c>
      <c r="B155" s="1715" t="s">
        <v>1646</v>
      </c>
      <c r="C155" s="1716" t="s">
        <v>1646</v>
      </c>
      <c r="D155" s="1715" t="s">
        <v>1592</v>
      </c>
      <c r="E155" s="1715" t="s">
        <v>1642</v>
      </c>
      <c r="F155" s="1715" t="s">
        <v>1650</v>
      </c>
      <c r="G155" s="1715" t="s">
        <v>1660</v>
      </c>
      <c r="H155" s="1719">
        <v>72000</v>
      </c>
    </row>
    <row r="156" spans="1:9" x14ac:dyDescent="0.25">
      <c r="A156" s="1715" t="s">
        <v>1646</v>
      </c>
      <c r="B156" s="1715" t="s">
        <v>1646</v>
      </c>
      <c r="C156" s="1716" t="s">
        <v>1646</v>
      </c>
      <c r="D156" s="1715" t="s">
        <v>1592</v>
      </c>
      <c r="E156" s="1715" t="s">
        <v>1642</v>
      </c>
      <c r="F156" s="1715" t="s">
        <v>1650</v>
      </c>
      <c r="G156" s="1715" t="s">
        <v>1660</v>
      </c>
      <c r="H156" s="1719">
        <v>68800</v>
      </c>
    </row>
    <row r="157" spans="1:9" x14ac:dyDescent="0.25">
      <c r="A157" s="1715" t="s">
        <v>1646</v>
      </c>
      <c r="B157" s="1715" t="s">
        <v>1646</v>
      </c>
      <c r="C157" s="1716" t="s">
        <v>1646</v>
      </c>
      <c r="D157" s="1715" t="s">
        <v>1592</v>
      </c>
      <c r="E157" s="1715" t="s">
        <v>1642</v>
      </c>
      <c r="F157" s="1715" t="s">
        <v>1650</v>
      </c>
      <c r="G157" s="1715" t="s">
        <v>1654</v>
      </c>
      <c r="H157" s="1719">
        <v>38000</v>
      </c>
    </row>
    <row r="158" spans="1:9" x14ac:dyDescent="0.25">
      <c r="A158" s="1715" t="s">
        <v>1646</v>
      </c>
      <c r="B158" s="1715" t="s">
        <v>1646</v>
      </c>
      <c r="C158" s="1716" t="s">
        <v>1646</v>
      </c>
      <c r="D158" s="1715" t="s">
        <v>1592</v>
      </c>
      <c r="E158" s="1715" t="s">
        <v>1642</v>
      </c>
      <c r="F158" s="1715" t="s">
        <v>1650</v>
      </c>
      <c r="G158" s="1715" t="s">
        <v>1654</v>
      </c>
      <c r="H158" s="1719">
        <v>38000</v>
      </c>
    </row>
    <row r="159" spans="1:9" ht="47.25" x14ac:dyDescent="0.25">
      <c r="A159" s="1715" t="s">
        <v>1646</v>
      </c>
      <c r="B159" s="1715" t="s">
        <v>1698</v>
      </c>
      <c r="C159" s="1716" t="s">
        <v>1699</v>
      </c>
      <c r="D159" s="1715" t="s">
        <v>1646</v>
      </c>
      <c r="E159" s="1715" t="s">
        <v>1646</v>
      </c>
      <c r="F159" s="1715" t="s">
        <v>1646</v>
      </c>
      <c r="G159" s="1715" t="s">
        <v>1646</v>
      </c>
      <c r="H159" s="1719">
        <v>731</v>
      </c>
    </row>
    <row r="160" spans="1:9" x14ac:dyDescent="0.25">
      <c r="A160" s="1715" t="s">
        <v>1646</v>
      </c>
      <c r="B160" s="1715" t="s">
        <v>1646</v>
      </c>
      <c r="C160" s="1716" t="s">
        <v>1646</v>
      </c>
      <c r="D160" s="1715" t="s">
        <v>1592</v>
      </c>
      <c r="E160" s="1715" t="s">
        <v>1646</v>
      </c>
      <c r="F160" s="1715" t="s">
        <v>1646</v>
      </c>
      <c r="G160" s="1715" t="s">
        <v>1646</v>
      </c>
      <c r="H160" s="1719">
        <v>731</v>
      </c>
    </row>
    <row r="161" spans="1:9" x14ac:dyDescent="0.25">
      <c r="A161" s="1715" t="s">
        <v>1646</v>
      </c>
      <c r="B161" s="1715" t="s">
        <v>1646</v>
      </c>
      <c r="C161" s="1716" t="s">
        <v>1646</v>
      </c>
      <c r="D161" s="1715" t="s">
        <v>1592</v>
      </c>
      <c r="E161" s="1715" t="s">
        <v>1593</v>
      </c>
      <c r="F161" s="1715" t="s">
        <v>1646</v>
      </c>
      <c r="G161" s="1715" t="s">
        <v>1646</v>
      </c>
      <c r="H161" s="1719">
        <v>731</v>
      </c>
      <c r="I161" s="1705" t="s">
        <v>1916</v>
      </c>
    </row>
    <row r="162" spans="1:9" x14ac:dyDescent="0.25">
      <c r="A162" s="1715" t="s">
        <v>1646</v>
      </c>
      <c r="B162" s="1715" t="s">
        <v>1646</v>
      </c>
      <c r="C162" s="1716" t="s">
        <v>1646</v>
      </c>
      <c r="D162" s="1715" t="s">
        <v>1592</v>
      </c>
      <c r="E162" s="1715" t="s">
        <v>1593</v>
      </c>
      <c r="F162" s="1715" t="s">
        <v>1691</v>
      </c>
      <c r="G162" s="1715" t="s">
        <v>1646</v>
      </c>
      <c r="H162" s="1719">
        <v>731</v>
      </c>
    </row>
    <row r="163" spans="1:9" x14ac:dyDescent="0.25">
      <c r="A163" s="1715" t="s">
        <v>1646</v>
      </c>
      <c r="B163" s="1715" t="s">
        <v>1646</v>
      </c>
      <c r="C163" s="1716" t="s">
        <v>1646</v>
      </c>
      <c r="D163" s="1715" t="s">
        <v>1592</v>
      </c>
      <c r="E163" s="1715" t="s">
        <v>1593</v>
      </c>
      <c r="F163" s="1715" t="s">
        <v>1691</v>
      </c>
      <c r="G163" s="1715" t="s">
        <v>1692</v>
      </c>
      <c r="H163" s="1719">
        <v>731</v>
      </c>
    </row>
    <row r="164" spans="1:9" x14ac:dyDescent="0.25">
      <c r="A164" s="1715" t="s">
        <v>1646</v>
      </c>
      <c r="B164" s="1715" t="s">
        <v>1646</v>
      </c>
      <c r="C164" s="1716" t="s">
        <v>1646</v>
      </c>
      <c r="D164" s="1715" t="s">
        <v>1592</v>
      </c>
      <c r="E164" s="1715" t="s">
        <v>1593</v>
      </c>
      <c r="F164" s="1715" t="s">
        <v>1691</v>
      </c>
      <c r="G164" s="1715" t="s">
        <v>1692</v>
      </c>
      <c r="H164" s="1719">
        <v>731</v>
      </c>
    </row>
    <row r="165" spans="1:9" ht="63" x14ac:dyDescent="0.25">
      <c r="A165" s="1715" t="s">
        <v>1646</v>
      </c>
      <c r="B165" s="1715" t="s">
        <v>1700</v>
      </c>
      <c r="C165" s="1716" t="s">
        <v>1701</v>
      </c>
      <c r="D165" s="1715" t="s">
        <v>1646</v>
      </c>
      <c r="E165" s="1715" t="s">
        <v>1646</v>
      </c>
      <c r="F165" s="1715" t="s">
        <v>1646</v>
      </c>
      <c r="G165" s="1715" t="s">
        <v>1646</v>
      </c>
      <c r="H165" s="1719">
        <v>2000</v>
      </c>
    </row>
    <row r="166" spans="1:9" x14ac:dyDescent="0.25">
      <c r="A166" s="1715" t="s">
        <v>1646</v>
      </c>
      <c r="B166" s="1715" t="s">
        <v>1646</v>
      </c>
      <c r="C166" s="1716" t="s">
        <v>1646</v>
      </c>
      <c r="D166" s="1715" t="s">
        <v>1592</v>
      </c>
      <c r="E166" s="1715" t="s">
        <v>1646</v>
      </c>
      <c r="F166" s="1715" t="s">
        <v>1646</v>
      </c>
      <c r="G166" s="1715" t="s">
        <v>1646</v>
      </c>
      <c r="H166" s="1719">
        <v>2000</v>
      </c>
    </row>
    <row r="167" spans="1:9" x14ac:dyDescent="0.25">
      <c r="A167" s="1715" t="s">
        <v>1646</v>
      </c>
      <c r="B167" s="1715" t="s">
        <v>1646</v>
      </c>
      <c r="C167" s="1716" t="s">
        <v>1646</v>
      </c>
      <c r="D167" s="1715" t="s">
        <v>1592</v>
      </c>
      <c r="E167" s="1715" t="s">
        <v>1620</v>
      </c>
      <c r="F167" s="1715" t="s">
        <v>1646</v>
      </c>
      <c r="G167" s="1715" t="s">
        <v>1646</v>
      </c>
      <c r="H167" s="1719">
        <v>2000</v>
      </c>
      <c r="I167" s="1705" t="s">
        <v>1915</v>
      </c>
    </row>
    <row r="168" spans="1:9" x14ac:dyDescent="0.25">
      <c r="A168" s="1715" t="s">
        <v>1646</v>
      </c>
      <c r="B168" s="1715" t="s">
        <v>1646</v>
      </c>
      <c r="C168" s="1716" t="s">
        <v>1646</v>
      </c>
      <c r="D168" s="1715" t="s">
        <v>1592</v>
      </c>
      <c r="E168" s="1715" t="s">
        <v>1620</v>
      </c>
      <c r="F168" s="1715" t="s">
        <v>1629</v>
      </c>
      <c r="G168" s="1715" t="s">
        <v>1646</v>
      </c>
      <c r="H168" s="1719">
        <v>2000</v>
      </c>
    </row>
    <row r="169" spans="1:9" x14ac:dyDescent="0.25">
      <c r="A169" s="1715" t="s">
        <v>1646</v>
      </c>
      <c r="B169" s="1715" t="s">
        <v>1646</v>
      </c>
      <c r="C169" s="1716" t="s">
        <v>1646</v>
      </c>
      <c r="D169" s="1715" t="s">
        <v>1592</v>
      </c>
      <c r="E169" s="1715" t="s">
        <v>1620</v>
      </c>
      <c r="F169" s="1715" t="s">
        <v>1629</v>
      </c>
      <c r="G169" s="1715" t="s">
        <v>1615</v>
      </c>
      <c r="H169" s="1719">
        <v>2000</v>
      </c>
    </row>
    <row r="170" spans="1:9" x14ac:dyDescent="0.25">
      <c r="A170" s="1715" t="s">
        <v>1646</v>
      </c>
      <c r="B170" s="1715" t="s">
        <v>1646</v>
      </c>
      <c r="C170" s="1716" t="s">
        <v>1646</v>
      </c>
      <c r="D170" s="1715" t="s">
        <v>1592</v>
      </c>
      <c r="E170" s="1715" t="s">
        <v>1620</v>
      </c>
      <c r="F170" s="1715" t="s">
        <v>1629</v>
      </c>
      <c r="G170" s="1715" t="s">
        <v>1615</v>
      </c>
      <c r="H170" s="1719">
        <v>2000</v>
      </c>
    </row>
    <row r="171" spans="1:9" ht="94.5" x14ac:dyDescent="0.25">
      <c r="A171" s="1715" t="s">
        <v>1646</v>
      </c>
      <c r="B171" s="1715" t="s">
        <v>1702</v>
      </c>
      <c r="C171" s="1716" t="s">
        <v>1703</v>
      </c>
      <c r="D171" s="1715" t="s">
        <v>1646</v>
      </c>
      <c r="E171" s="1715" t="s">
        <v>1646</v>
      </c>
      <c r="F171" s="1715" t="s">
        <v>1646</v>
      </c>
      <c r="G171" s="1715" t="s">
        <v>1646</v>
      </c>
      <c r="H171" s="1719">
        <v>10000</v>
      </c>
    </row>
    <row r="172" spans="1:9" x14ac:dyDescent="0.25">
      <c r="A172" s="1715" t="s">
        <v>1646</v>
      </c>
      <c r="B172" s="1715" t="s">
        <v>1646</v>
      </c>
      <c r="C172" s="1716" t="s">
        <v>1646</v>
      </c>
      <c r="D172" s="1715" t="s">
        <v>1592</v>
      </c>
      <c r="E172" s="1715" t="s">
        <v>1646</v>
      </c>
      <c r="F172" s="1715" t="s">
        <v>1646</v>
      </c>
      <c r="G172" s="1715" t="s">
        <v>1646</v>
      </c>
      <c r="H172" s="1719">
        <v>10000</v>
      </c>
    </row>
    <row r="173" spans="1:9" x14ac:dyDescent="0.25">
      <c r="A173" s="1715" t="s">
        <v>1646</v>
      </c>
      <c r="B173" s="1715" t="s">
        <v>1646</v>
      </c>
      <c r="C173" s="1716" t="s">
        <v>1646</v>
      </c>
      <c r="D173" s="1715" t="s">
        <v>1592</v>
      </c>
      <c r="E173" s="1715" t="s">
        <v>1642</v>
      </c>
      <c r="F173" s="1715" t="s">
        <v>1646</v>
      </c>
      <c r="G173" s="1715" t="s">
        <v>1646</v>
      </c>
      <c r="H173" s="1719">
        <v>10000</v>
      </c>
      <c r="I173" s="1705" t="s">
        <v>1914</v>
      </c>
    </row>
    <row r="174" spans="1:9" x14ac:dyDescent="0.25">
      <c r="A174" s="1715" t="s">
        <v>1646</v>
      </c>
      <c r="B174" s="1715" t="s">
        <v>1646</v>
      </c>
      <c r="C174" s="1716" t="s">
        <v>1646</v>
      </c>
      <c r="D174" s="1715" t="s">
        <v>1592</v>
      </c>
      <c r="E174" s="1715" t="s">
        <v>1642</v>
      </c>
      <c r="F174" s="1715" t="s">
        <v>1650</v>
      </c>
      <c r="G174" s="1715" t="s">
        <v>1646</v>
      </c>
      <c r="H174" s="1719">
        <v>10000</v>
      </c>
    </row>
    <row r="175" spans="1:9" x14ac:dyDescent="0.25">
      <c r="A175" s="1715" t="s">
        <v>1646</v>
      </c>
      <c r="B175" s="1715" t="s">
        <v>1646</v>
      </c>
      <c r="C175" s="1716" t="s">
        <v>1646</v>
      </c>
      <c r="D175" s="1715" t="s">
        <v>1592</v>
      </c>
      <c r="E175" s="1715" t="s">
        <v>1642</v>
      </c>
      <c r="F175" s="1715" t="s">
        <v>1650</v>
      </c>
      <c r="G175" s="1715" t="s">
        <v>1654</v>
      </c>
      <c r="H175" s="1719">
        <v>10000</v>
      </c>
    </row>
    <row r="176" spans="1:9" x14ac:dyDescent="0.25">
      <c r="A176" s="1715" t="s">
        <v>1646</v>
      </c>
      <c r="B176" s="1715" t="s">
        <v>1646</v>
      </c>
      <c r="C176" s="1716" t="s">
        <v>1646</v>
      </c>
      <c r="D176" s="1715" t="s">
        <v>1592</v>
      </c>
      <c r="E176" s="1715" t="s">
        <v>1642</v>
      </c>
      <c r="F176" s="1715" t="s">
        <v>1650</v>
      </c>
      <c r="G176" s="1715" t="s">
        <v>1654</v>
      </c>
      <c r="H176" s="1719">
        <v>10000</v>
      </c>
    </row>
    <row r="177" spans="1:9" ht="31.5" x14ac:dyDescent="0.25">
      <c r="A177" s="1718" t="s">
        <v>1704</v>
      </c>
      <c r="B177" s="1718" t="s">
        <v>1705</v>
      </c>
      <c r="C177" s="1708" t="s">
        <v>1706</v>
      </c>
      <c r="D177" s="1715" t="s">
        <v>1646</v>
      </c>
      <c r="E177" s="1715" t="s">
        <v>1646</v>
      </c>
      <c r="F177" s="1715" t="s">
        <v>1646</v>
      </c>
      <c r="G177" s="1715" t="s">
        <v>1646</v>
      </c>
      <c r="H177" s="1717">
        <v>603189</v>
      </c>
    </row>
    <row r="178" spans="1:9" ht="31.5" x14ac:dyDescent="0.25">
      <c r="A178" s="1715" t="s">
        <v>1646</v>
      </c>
      <c r="B178" s="1715" t="s">
        <v>1707</v>
      </c>
      <c r="C178" s="1716" t="s">
        <v>1708</v>
      </c>
      <c r="D178" s="1715" t="s">
        <v>1646</v>
      </c>
      <c r="E178" s="1715" t="s">
        <v>1646</v>
      </c>
      <c r="F178" s="1715" t="s">
        <v>1646</v>
      </c>
      <c r="G178" s="1715" t="s">
        <v>1646</v>
      </c>
      <c r="H178" s="1719">
        <v>603189</v>
      </c>
    </row>
    <row r="179" spans="1:9" x14ac:dyDescent="0.25">
      <c r="A179" s="1715" t="s">
        <v>1646</v>
      </c>
      <c r="B179" s="1715" t="s">
        <v>1646</v>
      </c>
      <c r="C179" s="1716" t="s">
        <v>1646</v>
      </c>
      <c r="D179" s="1715" t="s">
        <v>1592</v>
      </c>
      <c r="E179" s="1715" t="s">
        <v>1646</v>
      </c>
      <c r="F179" s="1715" t="s">
        <v>1646</v>
      </c>
      <c r="G179" s="1715" t="s">
        <v>1646</v>
      </c>
      <c r="H179" s="1719">
        <v>603189</v>
      </c>
    </row>
    <row r="180" spans="1:9" x14ac:dyDescent="0.25">
      <c r="A180" s="1715" t="s">
        <v>1646</v>
      </c>
      <c r="B180" s="1715" t="s">
        <v>1646</v>
      </c>
      <c r="C180" s="1716" t="s">
        <v>1646</v>
      </c>
      <c r="D180" s="1715" t="s">
        <v>1592</v>
      </c>
      <c r="E180" s="1715" t="s">
        <v>1600</v>
      </c>
      <c r="F180" s="1715" t="s">
        <v>1646</v>
      </c>
      <c r="G180" s="1715" t="s">
        <v>1646</v>
      </c>
      <c r="H180" s="1719">
        <v>603189</v>
      </c>
      <c r="I180" s="1705" t="s">
        <v>1913</v>
      </c>
    </row>
    <row r="181" spans="1:9" x14ac:dyDescent="0.25">
      <c r="A181" s="1715" t="s">
        <v>1646</v>
      </c>
      <c r="B181" s="1715" t="s">
        <v>1646</v>
      </c>
      <c r="C181" s="1716" t="s">
        <v>1646</v>
      </c>
      <c r="D181" s="1715" t="s">
        <v>1592</v>
      </c>
      <c r="E181" s="1715" t="s">
        <v>1600</v>
      </c>
      <c r="F181" s="1715" t="s">
        <v>1636</v>
      </c>
      <c r="G181" s="1715" t="s">
        <v>1646</v>
      </c>
      <c r="H181" s="1719">
        <v>276189</v>
      </c>
    </row>
    <row r="182" spans="1:9" x14ac:dyDescent="0.25">
      <c r="A182" s="1715" t="s">
        <v>1646</v>
      </c>
      <c r="B182" s="1715" t="s">
        <v>1646</v>
      </c>
      <c r="C182" s="1716" t="s">
        <v>1646</v>
      </c>
      <c r="D182" s="1715" t="s">
        <v>1592</v>
      </c>
      <c r="E182" s="1715" t="s">
        <v>1600</v>
      </c>
      <c r="F182" s="1715" t="s">
        <v>1636</v>
      </c>
      <c r="G182" s="1715" t="s">
        <v>1654</v>
      </c>
      <c r="H182" s="1719">
        <v>251808</v>
      </c>
      <c r="I182" s="1705" t="s">
        <v>1722</v>
      </c>
    </row>
    <row r="183" spans="1:9" x14ac:dyDescent="0.25">
      <c r="A183" s="1715" t="s">
        <v>1646</v>
      </c>
      <c r="B183" s="1715" t="s">
        <v>1646</v>
      </c>
      <c r="C183" s="1716" t="s">
        <v>1646</v>
      </c>
      <c r="D183" s="1715" t="s">
        <v>1592</v>
      </c>
      <c r="E183" s="1715" t="s">
        <v>1600</v>
      </c>
      <c r="F183" s="1715" t="s">
        <v>1636</v>
      </c>
      <c r="G183" s="1715" t="s">
        <v>1654</v>
      </c>
      <c r="H183" s="1719">
        <v>251808</v>
      </c>
    </row>
    <row r="184" spans="1:9" x14ac:dyDescent="0.25">
      <c r="A184" s="1715" t="s">
        <v>1646</v>
      </c>
      <c r="B184" s="1715" t="s">
        <v>1646</v>
      </c>
      <c r="C184" s="1716" t="s">
        <v>1646</v>
      </c>
      <c r="D184" s="1715" t="s">
        <v>1592</v>
      </c>
      <c r="E184" s="1715" t="s">
        <v>1600</v>
      </c>
      <c r="F184" s="1715" t="s">
        <v>1636</v>
      </c>
      <c r="G184" s="1715" t="s">
        <v>1618</v>
      </c>
      <c r="H184" s="1719">
        <v>24381</v>
      </c>
    </row>
    <row r="185" spans="1:9" x14ac:dyDescent="0.25">
      <c r="A185" s="1715" t="s">
        <v>1646</v>
      </c>
      <c r="B185" s="1715" t="s">
        <v>1646</v>
      </c>
      <c r="C185" s="1716" t="s">
        <v>1646</v>
      </c>
      <c r="D185" s="1715" t="s">
        <v>1592</v>
      </c>
      <c r="E185" s="1715" t="s">
        <v>1600</v>
      </c>
      <c r="F185" s="1715" t="s">
        <v>1636</v>
      </c>
      <c r="G185" s="1715" t="s">
        <v>1618</v>
      </c>
      <c r="H185" s="1719">
        <v>24381</v>
      </c>
    </row>
    <row r="186" spans="1:9" x14ac:dyDescent="0.25">
      <c r="A186" s="1715" t="s">
        <v>1646</v>
      </c>
      <c r="B186" s="1715" t="s">
        <v>1646</v>
      </c>
      <c r="C186" s="1716" t="s">
        <v>1646</v>
      </c>
      <c r="D186" s="1715" t="s">
        <v>1592</v>
      </c>
      <c r="E186" s="1715" t="s">
        <v>1600</v>
      </c>
      <c r="F186" s="1715" t="s">
        <v>1603</v>
      </c>
      <c r="G186" s="1715" t="s">
        <v>1646</v>
      </c>
      <c r="H186" s="1719">
        <v>327000</v>
      </c>
    </row>
    <row r="187" spans="1:9" x14ac:dyDescent="0.25">
      <c r="A187" s="1715" t="s">
        <v>1646</v>
      </c>
      <c r="B187" s="1715" t="s">
        <v>1646</v>
      </c>
      <c r="C187" s="1716" t="s">
        <v>1646</v>
      </c>
      <c r="D187" s="1715" t="s">
        <v>1592</v>
      </c>
      <c r="E187" s="1715" t="s">
        <v>1600</v>
      </c>
      <c r="F187" s="1715" t="s">
        <v>1603</v>
      </c>
      <c r="G187" s="1715" t="s">
        <v>1602</v>
      </c>
      <c r="H187" s="1719">
        <v>327000</v>
      </c>
    </row>
    <row r="188" spans="1:9" x14ac:dyDescent="0.25">
      <c r="A188" s="1715" t="s">
        <v>1646</v>
      </c>
      <c r="B188" s="1715" t="s">
        <v>1646</v>
      </c>
      <c r="C188" s="1716" t="s">
        <v>1646</v>
      </c>
      <c r="D188" s="1715" t="s">
        <v>1592</v>
      </c>
      <c r="E188" s="1715" t="s">
        <v>1600</v>
      </c>
      <c r="F188" s="1715" t="s">
        <v>1603</v>
      </c>
      <c r="G188" s="1715" t="s">
        <v>1602</v>
      </c>
      <c r="H188" s="1719">
        <v>327000</v>
      </c>
      <c r="I188" s="1705" t="s">
        <v>645</v>
      </c>
    </row>
    <row r="189" spans="1:9" ht="31.5" x14ac:dyDescent="0.25">
      <c r="A189" s="1718" t="s">
        <v>1709</v>
      </c>
      <c r="B189" s="1718" t="s">
        <v>1710</v>
      </c>
      <c r="C189" s="1708" t="s">
        <v>1711</v>
      </c>
      <c r="D189" s="1715" t="s">
        <v>1646</v>
      </c>
      <c r="E189" s="1715" t="s">
        <v>1646</v>
      </c>
      <c r="F189" s="1715" t="s">
        <v>1646</v>
      </c>
      <c r="G189" s="1715" t="s">
        <v>1646</v>
      </c>
      <c r="H189" s="1717">
        <v>139090</v>
      </c>
    </row>
    <row r="190" spans="1:9" ht="47.25" x14ac:dyDescent="0.25">
      <c r="A190" s="1715" t="s">
        <v>1646</v>
      </c>
      <c r="B190" s="1715" t="s">
        <v>1712</v>
      </c>
      <c r="C190" s="1716" t="s">
        <v>1713</v>
      </c>
      <c r="D190" s="1715" t="s">
        <v>1646</v>
      </c>
      <c r="E190" s="1715" t="s">
        <v>1646</v>
      </c>
      <c r="F190" s="1715" t="s">
        <v>1646</v>
      </c>
      <c r="G190" s="1715" t="s">
        <v>1646</v>
      </c>
      <c r="H190" s="1719">
        <v>139090</v>
      </c>
      <c r="I190" s="1705" t="s">
        <v>1718</v>
      </c>
    </row>
    <row r="191" spans="1:9" x14ac:dyDescent="0.25">
      <c r="A191" s="1715" t="s">
        <v>1646</v>
      </c>
      <c r="B191" s="1715" t="s">
        <v>1646</v>
      </c>
      <c r="C191" s="1716" t="s">
        <v>1646</v>
      </c>
      <c r="D191" s="1715" t="s">
        <v>1592</v>
      </c>
      <c r="E191" s="1715" t="s">
        <v>1646</v>
      </c>
      <c r="F191" s="1715" t="s">
        <v>1646</v>
      </c>
      <c r="G191" s="1715" t="s">
        <v>1646</v>
      </c>
      <c r="H191" s="1719">
        <v>139090</v>
      </c>
    </row>
    <row r="192" spans="1:9" x14ac:dyDescent="0.25">
      <c r="A192" s="1715" t="s">
        <v>1646</v>
      </c>
      <c r="B192" s="1715" t="s">
        <v>1646</v>
      </c>
      <c r="C192" s="1716" t="s">
        <v>1646</v>
      </c>
      <c r="D192" s="1715" t="s">
        <v>1592</v>
      </c>
      <c r="E192" s="1715" t="s">
        <v>1714</v>
      </c>
      <c r="F192" s="1715" t="s">
        <v>1646</v>
      </c>
      <c r="G192" s="1715" t="s">
        <v>1646</v>
      </c>
      <c r="H192" s="1719">
        <v>139090</v>
      </c>
      <c r="I192" s="1705" t="s">
        <v>1917</v>
      </c>
    </row>
    <row r="193" spans="1:8" x14ac:dyDescent="0.25">
      <c r="A193" s="1715" t="s">
        <v>1646</v>
      </c>
      <c r="B193" s="1715" t="s">
        <v>1646</v>
      </c>
      <c r="C193" s="1716" t="s">
        <v>1646</v>
      </c>
      <c r="D193" s="1715" t="s">
        <v>1592</v>
      </c>
      <c r="E193" s="1715" t="s">
        <v>1714</v>
      </c>
      <c r="F193" s="1715" t="s">
        <v>1715</v>
      </c>
      <c r="G193" s="1715" t="s">
        <v>1646</v>
      </c>
      <c r="H193" s="1719">
        <v>139090</v>
      </c>
    </row>
    <row r="194" spans="1:8" x14ac:dyDescent="0.25">
      <c r="A194" s="1715" t="s">
        <v>1646</v>
      </c>
      <c r="B194" s="1715" t="s">
        <v>1646</v>
      </c>
      <c r="C194" s="1716" t="s">
        <v>1646</v>
      </c>
      <c r="D194" s="1715" t="s">
        <v>1592</v>
      </c>
      <c r="E194" s="1715" t="s">
        <v>1714</v>
      </c>
      <c r="F194" s="1715" t="s">
        <v>1715</v>
      </c>
      <c r="G194" s="1715" t="s">
        <v>1607</v>
      </c>
      <c r="H194" s="1719">
        <v>10492</v>
      </c>
    </row>
    <row r="195" spans="1:8" x14ac:dyDescent="0.25">
      <c r="A195" s="1715" t="s">
        <v>1646</v>
      </c>
      <c r="B195" s="1715" t="s">
        <v>1646</v>
      </c>
      <c r="C195" s="1716" t="s">
        <v>1646</v>
      </c>
      <c r="D195" s="1715" t="s">
        <v>1592</v>
      </c>
      <c r="E195" s="1715" t="s">
        <v>1714</v>
      </c>
      <c r="F195" s="1715" t="s">
        <v>1715</v>
      </c>
      <c r="G195" s="1715" t="s">
        <v>1607</v>
      </c>
      <c r="H195" s="1719">
        <v>10492</v>
      </c>
    </row>
    <row r="196" spans="1:8" x14ac:dyDescent="0.25">
      <c r="A196" s="1715" t="s">
        <v>1646</v>
      </c>
      <c r="B196" s="1715" t="s">
        <v>1646</v>
      </c>
      <c r="C196" s="1716" t="s">
        <v>1646</v>
      </c>
      <c r="D196" s="1715" t="s">
        <v>1592</v>
      </c>
      <c r="E196" s="1715" t="s">
        <v>1714</v>
      </c>
      <c r="F196" s="1715" t="s">
        <v>1715</v>
      </c>
      <c r="G196" s="1715" t="s">
        <v>1623</v>
      </c>
      <c r="H196" s="1719">
        <v>673</v>
      </c>
    </row>
    <row r="197" spans="1:8" x14ac:dyDescent="0.25">
      <c r="A197" s="1715" t="s">
        <v>1646</v>
      </c>
      <c r="B197" s="1715" t="s">
        <v>1646</v>
      </c>
      <c r="C197" s="1716" t="s">
        <v>1646</v>
      </c>
      <c r="D197" s="1715" t="s">
        <v>1592</v>
      </c>
      <c r="E197" s="1715" t="s">
        <v>1714</v>
      </c>
      <c r="F197" s="1715" t="s">
        <v>1715</v>
      </c>
      <c r="G197" s="1715" t="s">
        <v>1623</v>
      </c>
      <c r="H197" s="1719">
        <v>673</v>
      </c>
    </row>
    <row r="198" spans="1:8" x14ac:dyDescent="0.25">
      <c r="A198" s="1715" t="s">
        <v>1646</v>
      </c>
      <c r="B198" s="1715" t="s">
        <v>1646</v>
      </c>
      <c r="C198" s="1716" t="s">
        <v>1646</v>
      </c>
      <c r="D198" s="1715" t="s">
        <v>1592</v>
      </c>
      <c r="E198" s="1715" t="s">
        <v>1714</v>
      </c>
      <c r="F198" s="1715" t="s">
        <v>1715</v>
      </c>
      <c r="G198" s="1715" t="s">
        <v>1652</v>
      </c>
      <c r="H198" s="1719">
        <v>26989</v>
      </c>
    </row>
    <row r="199" spans="1:8" x14ac:dyDescent="0.25">
      <c r="A199" s="1715" t="s">
        <v>1646</v>
      </c>
      <c r="B199" s="1715" t="s">
        <v>1646</v>
      </c>
      <c r="C199" s="1716" t="s">
        <v>1646</v>
      </c>
      <c r="D199" s="1715" t="s">
        <v>1592</v>
      </c>
      <c r="E199" s="1715" t="s">
        <v>1714</v>
      </c>
      <c r="F199" s="1715" t="s">
        <v>1715</v>
      </c>
      <c r="G199" s="1715" t="s">
        <v>1652</v>
      </c>
      <c r="H199" s="1719">
        <v>26989</v>
      </c>
    </row>
    <row r="200" spans="1:8" x14ac:dyDescent="0.25">
      <c r="A200" s="1715" t="s">
        <v>1646</v>
      </c>
      <c r="B200" s="1715" t="s">
        <v>1646</v>
      </c>
      <c r="C200" s="1716" t="s">
        <v>1646</v>
      </c>
      <c r="D200" s="1715" t="s">
        <v>1592</v>
      </c>
      <c r="E200" s="1715" t="s">
        <v>1714</v>
      </c>
      <c r="F200" s="1715" t="s">
        <v>1715</v>
      </c>
      <c r="G200" s="1715" t="s">
        <v>1654</v>
      </c>
      <c r="H200" s="1719">
        <v>10495</v>
      </c>
    </row>
    <row r="201" spans="1:8" x14ac:dyDescent="0.25">
      <c r="A201" s="1715" t="s">
        <v>1646</v>
      </c>
      <c r="B201" s="1715" t="s">
        <v>1646</v>
      </c>
      <c r="C201" s="1716" t="s">
        <v>1646</v>
      </c>
      <c r="D201" s="1715" t="s">
        <v>1592</v>
      </c>
      <c r="E201" s="1715" t="s">
        <v>1714</v>
      </c>
      <c r="F201" s="1715" t="s">
        <v>1715</v>
      </c>
      <c r="G201" s="1715" t="s">
        <v>1654</v>
      </c>
      <c r="H201" s="1719">
        <v>10495</v>
      </c>
    </row>
    <row r="202" spans="1:8" x14ac:dyDescent="0.25">
      <c r="A202" s="1715" t="s">
        <v>1646</v>
      </c>
      <c r="B202" s="1715" t="s">
        <v>1646</v>
      </c>
      <c r="C202" s="1716" t="s">
        <v>1646</v>
      </c>
      <c r="D202" s="1715" t="s">
        <v>1592</v>
      </c>
      <c r="E202" s="1715" t="s">
        <v>1714</v>
      </c>
      <c r="F202" s="1715" t="s">
        <v>1715</v>
      </c>
      <c r="G202" s="1715" t="s">
        <v>1618</v>
      </c>
      <c r="H202" s="1719">
        <v>46841</v>
      </c>
    </row>
    <row r="203" spans="1:8" x14ac:dyDescent="0.25">
      <c r="A203" s="1715" t="s">
        <v>1646</v>
      </c>
      <c r="B203" s="1715" t="s">
        <v>1646</v>
      </c>
      <c r="C203" s="1716" t="s">
        <v>1646</v>
      </c>
      <c r="D203" s="1715" t="s">
        <v>1592</v>
      </c>
      <c r="E203" s="1715" t="s">
        <v>1714</v>
      </c>
      <c r="F203" s="1715" t="s">
        <v>1715</v>
      </c>
      <c r="G203" s="1715" t="s">
        <v>1618</v>
      </c>
      <c r="H203" s="1719">
        <v>20000</v>
      </c>
    </row>
    <row r="204" spans="1:8" x14ac:dyDescent="0.25">
      <c r="A204" s="1715" t="s">
        <v>1646</v>
      </c>
      <c r="B204" s="1715" t="s">
        <v>1646</v>
      </c>
      <c r="C204" s="1716" t="s">
        <v>1646</v>
      </c>
      <c r="D204" s="1715" t="s">
        <v>1592</v>
      </c>
      <c r="E204" s="1715" t="s">
        <v>1714</v>
      </c>
      <c r="F204" s="1715" t="s">
        <v>1715</v>
      </c>
      <c r="G204" s="1715" t="s">
        <v>1618</v>
      </c>
      <c r="H204" s="1719">
        <v>26841</v>
      </c>
    </row>
    <row r="205" spans="1:8" x14ac:dyDescent="0.25">
      <c r="A205" s="1715" t="s">
        <v>1646</v>
      </c>
      <c r="B205" s="1715" t="s">
        <v>1646</v>
      </c>
      <c r="C205" s="1716" t="s">
        <v>1646</v>
      </c>
      <c r="D205" s="1715" t="s">
        <v>1592</v>
      </c>
      <c r="E205" s="1715" t="s">
        <v>1714</v>
      </c>
      <c r="F205" s="1715" t="s">
        <v>1715</v>
      </c>
      <c r="G205" s="1715" t="s">
        <v>1615</v>
      </c>
      <c r="H205" s="1719">
        <v>43600</v>
      </c>
    </row>
    <row r="206" spans="1:8" x14ac:dyDescent="0.25">
      <c r="A206" s="1715" t="s">
        <v>1646</v>
      </c>
      <c r="B206" s="1715" t="s">
        <v>1646</v>
      </c>
      <c r="C206" s="1716" t="s">
        <v>1646</v>
      </c>
      <c r="D206" s="1715" t="s">
        <v>1592</v>
      </c>
      <c r="E206" s="1715" t="s">
        <v>1714</v>
      </c>
      <c r="F206" s="1715" t="s">
        <v>1715</v>
      </c>
      <c r="G206" s="1715" t="s">
        <v>1615</v>
      </c>
      <c r="H206" s="1719">
        <v>43600</v>
      </c>
    </row>
    <row r="208" spans="1:8" ht="15.75" customHeight="1" x14ac:dyDescent="0.25">
      <c r="A208" s="3276" t="s">
        <v>1719</v>
      </c>
      <c r="B208" s="3276"/>
      <c r="C208" s="3276"/>
      <c r="D208" s="1705"/>
      <c r="E208" s="1713"/>
      <c r="F208" s="3276" t="s">
        <v>1719</v>
      </c>
      <c r="G208" s="3276"/>
      <c r="H208" s="3276"/>
    </row>
    <row r="209" spans="1:8" ht="35.25" customHeight="1" x14ac:dyDescent="0.25">
      <c r="A209" s="3278" t="s">
        <v>1720</v>
      </c>
      <c r="B209" s="3278"/>
      <c r="C209" s="3278"/>
      <c r="D209" s="1704"/>
      <c r="E209" s="1704"/>
      <c r="F209" s="3278" t="s">
        <v>1721</v>
      </c>
      <c r="G209" s="3278"/>
      <c r="H209" s="3278"/>
    </row>
    <row r="210" spans="1:8" ht="15.75" customHeight="1" x14ac:dyDescent="0.25">
      <c r="A210" s="3276" t="s">
        <v>12</v>
      </c>
      <c r="B210" s="3276"/>
      <c r="C210" s="3276"/>
      <c r="D210" s="1713"/>
      <c r="E210" s="1713"/>
      <c r="F210" s="3276" t="s">
        <v>12</v>
      </c>
      <c r="G210" s="3276"/>
      <c r="H210" s="3276"/>
    </row>
    <row r="216" spans="1:8" x14ac:dyDescent="0.25">
      <c r="B216" s="1714"/>
      <c r="C216" s="1714"/>
      <c r="D216" s="1714"/>
      <c r="E216" s="1714"/>
      <c r="F216" s="3283" t="s">
        <v>1386</v>
      </c>
      <c r="G216" s="3283"/>
      <c r="H216" s="3283"/>
    </row>
  </sheetData>
  <mergeCells count="12">
    <mergeCell ref="F216:H216"/>
    <mergeCell ref="G1:H1"/>
    <mergeCell ref="A208:C208"/>
    <mergeCell ref="A209:C209"/>
    <mergeCell ref="A2:H2"/>
    <mergeCell ref="A3:G3"/>
    <mergeCell ref="A210:C210"/>
    <mergeCell ref="A1:C1"/>
    <mergeCell ref="G4:H4"/>
    <mergeCell ref="F208:H208"/>
    <mergeCell ref="F209:H209"/>
    <mergeCell ref="F210:H210"/>
  </mergeCells>
  <phoneticPr fontId="70" type="noConversion"/>
  <printOptions horizontalCentered="1"/>
  <pageMargins left="0.5" right="0.52559055099999996" top="0.55000000000000004" bottom="0.72" header="0.27559055118110198" footer="0.23622047244094499"/>
  <pageSetup paperSize="9" scale="85" firstPageNumber="105" orientation="portrait" useFirstPageNumber="1"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8A5B1-D0E4-4C97-831E-B228D85F15CB}">
  <dimension ref="A1:S198"/>
  <sheetViews>
    <sheetView zoomScaleNormal="100" workbookViewId="0">
      <selection activeCell="S15" sqref="S15"/>
    </sheetView>
  </sheetViews>
  <sheetFormatPr defaultRowHeight="15" x14ac:dyDescent="0.25"/>
  <cols>
    <col min="1" max="1" width="7" customWidth="1"/>
    <col min="2" max="2" width="40" style="1748" customWidth="1"/>
    <col min="3" max="4" width="9" customWidth="1"/>
    <col min="5" max="5" width="8" customWidth="1"/>
    <col min="6" max="7" width="9" customWidth="1"/>
    <col min="8" max="8" width="18" style="1749" customWidth="1"/>
    <col min="9" max="11" width="18" style="1749" hidden="1" customWidth="1"/>
    <col min="12" max="12" width="18" style="1749" customWidth="1"/>
    <col min="13" max="14" width="18" style="1749" hidden="1" customWidth="1"/>
    <col min="15" max="15" width="18" style="1749" customWidth="1"/>
    <col min="16" max="16" width="12.7109375" bestFit="1" customWidth="1"/>
    <col min="17" max="17" width="9.140625" style="1755"/>
    <col min="18" max="19" width="12.7109375" bestFit="1" customWidth="1"/>
  </cols>
  <sheetData>
    <row r="1" spans="1:19" x14ac:dyDescent="0.25">
      <c r="A1" s="1747" t="s">
        <v>1186</v>
      </c>
      <c r="O1" s="1750" t="s">
        <v>1918</v>
      </c>
    </row>
    <row r="2" spans="1:19" x14ac:dyDescent="0.25">
      <c r="A2" s="1747" t="s">
        <v>1919</v>
      </c>
    </row>
    <row r="6" spans="1:19" ht="18" x14ac:dyDescent="0.25">
      <c r="A6" s="1751" t="s">
        <v>1920</v>
      </c>
      <c r="H6"/>
      <c r="I6"/>
      <c r="J6"/>
      <c r="K6"/>
      <c r="L6"/>
      <c r="M6"/>
      <c r="N6"/>
      <c r="O6"/>
    </row>
    <row r="7" spans="1:19" x14ac:dyDescent="0.25">
      <c r="A7" s="1752" t="s">
        <v>1921</v>
      </c>
      <c r="H7"/>
      <c r="I7"/>
      <c r="J7"/>
      <c r="K7"/>
      <c r="L7"/>
      <c r="M7"/>
      <c r="N7"/>
      <c r="O7"/>
      <c r="R7" s="1749">
        <f>SUM(R8:R12)</f>
        <v>1461068694</v>
      </c>
    </row>
    <row r="8" spans="1:19" x14ac:dyDescent="0.25">
      <c r="A8" s="1752" t="s">
        <v>1922</v>
      </c>
      <c r="H8"/>
      <c r="I8"/>
      <c r="J8"/>
      <c r="K8"/>
      <c r="L8"/>
      <c r="M8"/>
      <c r="N8"/>
      <c r="O8"/>
      <c r="Q8" s="1755" t="s">
        <v>1650</v>
      </c>
      <c r="R8" s="1749">
        <f>O16+O45+O75+O126+O154+O170</f>
        <v>457193300</v>
      </c>
    </row>
    <row r="9" spans="1:19" x14ac:dyDescent="0.25">
      <c r="O9" s="1750" t="s">
        <v>1923</v>
      </c>
      <c r="Q9" s="1755" t="s">
        <v>1600</v>
      </c>
      <c r="R9" s="1749">
        <f>O19+O24+O62+O80+O85+O88+O93+O98+O103+O109+O122+O133</f>
        <v>870613874</v>
      </c>
    </row>
    <row r="10" spans="1:19" x14ac:dyDescent="0.25">
      <c r="A10" s="1724" t="s">
        <v>0</v>
      </c>
      <c r="B10" s="1753" t="s">
        <v>1645</v>
      </c>
      <c r="C10" s="1724" t="s">
        <v>142</v>
      </c>
      <c r="D10" s="1724" t="s">
        <v>1591</v>
      </c>
      <c r="E10" s="1724" t="s">
        <v>147</v>
      </c>
      <c r="F10" s="1724" t="s">
        <v>143</v>
      </c>
      <c r="G10" s="1724" t="s">
        <v>144</v>
      </c>
      <c r="H10" s="1723" t="s">
        <v>1924</v>
      </c>
      <c r="I10" s="1723" t="s">
        <v>477</v>
      </c>
      <c r="J10" s="1722" t="s">
        <v>1646</v>
      </c>
      <c r="K10" s="1722" t="s">
        <v>1646</v>
      </c>
      <c r="L10" s="1723" t="s">
        <v>1925</v>
      </c>
      <c r="M10" s="1723" t="s">
        <v>1926</v>
      </c>
      <c r="N10" s="1723" t="s">
        <v>1927</v>
      </c>
      <c r="O10" s="1723" t="s">
        <v>1928</v>
      </c>
      <c r="Q10" s="1755" t="s">
        <v>1629</v>
      </c>
      <c r="R10" s="1749">
        <f>O35+O38+O68+O71+O150+O166</f>
        <v>118651520</v>
      </c>
    </row>
    <row r="11" spans="1:19" x14ac:dyDescent="0.25">
      <c r="A11" s="1721" t="s">
        <v>1646</v>
      </c>
      <c r="B11" s="1754" t="s">
        <v>1646</v>
      </c>
      <c r="C11" s="1721" t="s">
        <v>1646</v>
      </c>
      <c r="D11" s="1721" t="s">
        <v>1646</v>
      </c>
      <c r="E11" s="1721" t="s">
        <v>1646</v>
      </c>
      <c r="F11" s="1721" t="s">
        <v>1646</v>
      </c>
      <c r="G11" s="1721" t="s">
        <v>1646</v>
      </c>
      <c r="H11" s="1722" t="s">
        <v>1646</v>
      </c>
      <c r="I11" s="1723" t="s">
        <v>1929</v>
      </c>
      <c r="J11" s="1723" t="s">
        <v>1930</v>
      </c>
      <c r="K11" s="1723" t="s">
        <v>1931</v>
      </c>
      <c r="L11" s="1722" t="s">
        <v>1646</v>
      </c>
      <c r="M11" s="1722" t="s">
        <v>1646</v>
      </c>
      <c r="N11" s="1722" t="s">
        <v>1646</v>
      </c>
      <c r="O11" s="1722" t="s">
        <v>1646</v>
      </c>
      <c r="Q11" s="1755" t="s">
        <v>1691</v>
      </c>
      <c r="R11" s="1749">
        <f>O146+O162</f>
        <v>14610000</v>
      </c>
    </row>
    <row r="12" spans="1:19" x14ac:dyDescent="0.25">
      <c r="A12" s="1724">
        <v>1</v>
      </c>
      <c r="B12" s="1753">
        <v>2</v>
      </c>
      <c r="C12" s="1724">
        <v>3</v>
      </c>
      <c r="D12" s="1724">
        <v>4</v>
      </c>
      <c r="E12" s="1724">
        <v>5</v>
      </c>
      <c r="F12" s="1724">
        <v>6</v>
      </c>
      <c r="G12" s="1724">
        <v>7</v>
      </c>
      <c r="H12" s="1723">
        <v>8</v>
      </c>
      <c r="I12" s="1723">
        <v>9</v>
      </c>
      <c r="J12" s="1723">
        <v>10</v>
      </c>
      <c r="K12" s="1723">
        <v>11</v>
      </c>
      <c r="L12" s="1723">
        <v>12</v>
      </c>
      <c r="M12" s="1723">
        <v>13</v>
      </c>
      <c r="N12" s="1723">
        <v>14</v>
      </c>
      <c r="O12" s="1723">
        <v>15</v>
      </c>
      <c r="Q12" s="1756"/>
      <c r="R12" s="1749"/>
    </row>
    <row r="13" spans="1:19" x14ac:dyDescent="0.25">
      <c r="A13" s="1721" t="s">
        <v>1646</v>
      </c>
      <c r="B13" s="1754" t="s">
        <v>1646</v>
      </c>
      <c r="C13" s="1721" t="s">
        <v>1646</v>
      </c>
      <c r="D13" s="1721" t="s">
        <v>1646</v>
      </c>
      <c r="E13" s="1721" t="s">
        <v>1646</v>
      </c>
      <c r="F13" s="1721" t="s">
        <v>1646</v>
      </c>
      <c r="G13" s="1721" t="s">
        <v>1646</v>
      </c>
      <c r="H13" s="1723">
        <v>3384603530</v>
      </c>
      <c r="I13" s="1723">
        <v>420563459</v>
      </c>
      <c r="J13" s="1723">
        <v>795685271</v>
      </c>
      <c r="K13" s="1723">
        <v>2168354800</v>
      </c>
      <c r="L13" s="1723">
        <v>2203347991</v>
      </c>
      <c r="M13" s="1723">
        <v>0</v>
      </c>
      <c r="N13" s="1723">
        <v>0</v>
      </c>
      <c r="O13" s="1723">
        <f>O14+O78+O144</f>
        <v>1461068694</v>
      </c>
    </row>
    <row r="14" spans="1:19" ht="39" x14ac:dyDescent="0.25">
      <c r="A14" s="1724" t="s">
        <v>1448</v>
      </c>
      <c r="B14" s="1753" t="s">
        <v>1932</v>
      </c>
      <c r="C14" s="1721" t="s">
        <v>1646</v>
      </c>
      <c r="D14" s="1721" t="s">
        <v>1646</v>
      </c>
      <c r="E14" s="1721" t="s">
        <v>1646</v>
      </c>
      <c r="F14" s="1721" t="s">
        <v>1646</v>
      </c>
      <c r="G14" s="1721" t="s">
        <v>1646</v>
      </c>
      <c r="H14" s="1723">
        <v>956975400</v>
      </c>
      <c r="I14" s="1723">
        <v>0</v>
      </c>
      <c r="J14" s="1723">
        <v>0</v>
      </c>
      <c r="K14" s="1723">
        <v>956975400</v>
      </c>
      <c r="L14" s="1723">
        <v>723504320</v>
      </c>
      <c r="M14" s="1723">
        <v>0</v>
      </c>
      <c r="N14" s="1723">
        <v>0</v>
      </c>
      <c r="O14" s="1723">
        <v>723504320</v>
      </c>
      <c r="P14" s="1749">
        <f>O14+O78-P78+O144</f>
        <v>1174283720</v>
      </c>
      <c r="Q14"/>
      <c r="R14" s="1749">
        <v>117428402</v>
      </c>
      <c r="S14" s="1749">
        <f>P14-R14</f>
        <v>1056855318</v>
      </c>
    </row>
    <row r="15" spans="1:19" ht="39" x14ac:dyDescent="0.25">
      <c r="A15" s="1721" t="s">
        <v>1646</v>
      </c>
      <c r="B15" s="1754" t="s">
        <v>1933</v>
      </c>
      <c r="C15" s="1721" t="s">
        <v>1646</v>
      </c>
      <c r="D15" s="1721" t="s">
        <v>1646</v>
      </c>
      <c r="E15" s="1721" t="s">
        <v>1646</v>
      </c>
      <c r="F15" s="1721" t="s">
        <v>1646</v>
      </c>
      <c r="G15" s="1721" t="s">
        <v>1646</v>
      </c>
      <c r="H15" s="1722">
        <v>418657200</v>
      </c>
      <c r="I15" s="1722">
        <v>0</v>
      </c>
      <c r="J15" s="1722">
        <v>0</v>
      </c>
      <c r="K15" s="1722">
        <v>418657200</v>
      </c>
      <c r="L15" s="1722">
        <v>301980000</v>
      </c>
      <c r="M15" s="1722">
        <v>0</v>
      </c>
      <c r="N15" s="1722">
        <v>0</v>
      </c>
      <c r="O15" s="1722">
        <v>301980000</v>
      </c>
      <c r="Q15"/>
    </row>
    <row r="16" spans="1:19" ht="26.25" x14ac:dyDescent="0.25">
      <c r="A16" s="1721" t="s">
        <v>1646</v>
      </c>
      <c r="B16" s="1754" t="s">
        <v>1934</v>
      </c>
      <c r="C16" s="1721" t="s">
        <v>1592</v>
      </c>
      <c r="D16" s="1721" t="s">
        <v>1642</v>
      </c>
      <c r="E16" s="1721" t="s">
        <v>1650</v>
      </c>
      <c r="F16" s="1721" t="s">
        <v>1646</v>
      </c>
      <c r="G16" s="1721" t="s">
        <v>1646</v>
      </c>
      <c r="H16" s="1722">
        <v>35280000</v>
      </c>
      <c r="I16" s="1722">
        <v>0</v>
      </c>
      <c r="J16" s="1722">
        <v>0</v>
      </c>
      <c r="K16" s="1722">
        <v>35280000</v>
      </c>
      <c r="L16" s="1722">
        <v>35280000</v>
      </c>
      <c r="M16" s="1722">
        <v>0</v>
      </c>
      <c r="N16" s="1722">
        <v>0</v>
      </c>
      <c r="O16" s="1722">
        <v>35280000</v>
      </c>
      <c r="P16" t="s">
        <v>1979</v>
      </c>
      <c r="Q16" s="2003" t="s">
        <v>1914</v>
      </c>
    </row>
    <row r="17" spans="1:17" x14ac:dyDescent="0.25">
      <c r="A17" s="1721" t="s">
        <v>1646</v>
      </c>
      <c r="B17" s="1754" t="s">
        <v>1646</v>
      </c>
      <c r="C17" s="1721" t="s">
        <v>1646</v>
      </c>
      <c r="D17" s="1721" t="s">
        <v>1646</v>
      </c>
      <c r="E17" s="1721" t="s">
        <v>1646</v>
      </c>
      <c r="F17" s="1721" t="s">
        <v>1615</v>
      </c>
      <c r="G17" s="1721" t="s">
        <v>1646</v>
      </c>
      <c r="H17" s="1722" t="s">
        <v>1646</v>
      </c>
      <c r="I17" s="1722" t="s">
        <v>1646</v>
      </c>
      <c r="J17" s="1722" t="s">
        <v>1646</v>
      </c>
      <c r="K17" s="1722" t="s">
        <v>1646</v>
      </c>
      <c r="L17" s="1722">
        <v>35280000</v>
      </c>
      <c r="M17" s="1722">
        <v>0</v>
      </c>
      <c r="N17" s="1722">
        <v>0</v>
      </c>
      <c r="O17" s="1722">
        <v>35280000</v>
      </c>
      <c r="Q17"/>
    </row>
    <row r="18" spans="1:17" x14ac:dyDescent="0.25">
      <c r="A18" s="1721" t="s">
        <v>1646</v>
      </c>
      <c r="B18" s="1754" t="s">
        <v>1646</v>
      </c>
      <c r="C18" s="1721" t="s">
        <v>1646</v>
      </c>
      <c r="D18" s="1721" t="s">
        <v>1646</v>
      </c>
      <c r="E18" s="1721" t="s">
        <v>1646</v>
      </c>
      <c r="F18" s="1721" t="s">
        <v>1615</v>
      </c>
      <c r="G18" s="1721" t="s">
        <v>1616</v>
      </c>
      <c r="H18" s="1722" t="s">
        <v>1646</v>
      </c>
      <c r="I18" s="1722" t="s">
        <v>1646</v>
      </c>
      <c r="J18" s="1722" t="s">
        <v>1646</v>
      </c>
      <c r="K18" s="1722" t="s">
        <v>1646</v>
      </c>
      <c r="L18" s="1722">
        <v>35280000</v>
      </c>
      <c r="M18" s="1722">
        <v>0</v>
      </c>
      <c r="N18" s="1722">
        <v>0</v>
      </c>
      <c r="O18" s="1722">
        <v>35280000</v>
      </c>
      <c r="Q18"/>
    </row>
    <row r="19" spans="1:17" x14ac:dyDescent="0.25">
      <c r="A19" s="1721" t="s">
        <v>1646</v>
      </c>
      <c r="B19" s="1754" t="s">
        <v>1935</v>
      </c>
      <c r="C19" s="1721" t="s">
        <v>1592</v>
      </c>
      <c r="D19" s="1721" t="s">
        <v>1600</v>
      </c>
      <c r="E19" s="1721" t="s">
        <v>1617</v>
      </c>
      <c r="F19" s="1721" t="s">
        <v>1646</v>
      </c>
      <c r="G19" s="1721" t="s">
        <v>1646</v>
      </c>
      <c r="H19" s="1722">
        <v>280490000</v>
      </c>
      <c r="I19" s="1722">
        <v>0</v>
      </c>
      <c r="J19" s="1722">
        <v>0</v>
      </c>
      <c r="K19" s="1722">
        <v>280490000</v>
      </c>
      <c r="L19" s="1722">
        <v>266700000</v>
      </c>
      <c r="M19" s="1722">
        <v>0</v>
      </c>
      <c r="N19" s="1722">
        <v>0</v>
      </c>
      <c r="O19" s="1722">
        <v>266700000</v>
      </c>
      <c r="P19" t="s">
        <v>1979</v>
      </c>
      <c r="Q19" t="s">
        <v>1913</v>
      </c>
    </row>
    <row r="20" spans="1:17" x14ac:dyDescent="0.25">
      <c r="A20" s="1721" t="s">
        <v>1646</v>
      </c>
      <c r="B20" s="1754" t="s">
        <v>1646</v>
      </c>
      <c r="C20" s="1721" t="s">
        <v>1646</v>
      </c>
      <c r="D20" s="1721" t="s">
        <v>1646</v>
      </c>
      <c r="E20" s="1721" t="s">
        <v>1646</v>
      </c>
      <c r="F20" s="1721" t="s">
        <v>1618</v>
      </c>
      <c r="G20" s="1721" t="s">
        <v>1646</v>
      </c>
      <c r="H20" s="1722" t="s">
        <v>1646</v>
      </c>
      <c r="I20" s="1722" t="s">
        <v>1646</v>
      </c>
      <c r="J20" s="1722" t="s">
        <v>1646</v>
      </c>
      <c r="K20" s="1722" t="s">
        <v>1646</v>
      </c>
      <c r="L20" s="1722">
        <v>266700000</v>
      </c>
      <c r="M20" s="1722">
        <v>0</v>
      </c>
      <c r="N20" s="1722">
        <v>0</v>
      </c>
      <c r="O20" s="1722">
        <v>266700000</v>
      </c>
      <c r="Q20" s="2003"/>
    </row>
    <row r="21" spans="1:17" x14ac:dyDescent="0.25">
      <c r="A21" s="1721" t="s">
        <v>1646</v>
      </c>
      <c r="B21" s="1754" t="s">
        <v>1646</v>
      </c>
      <c r="C21" s="1721" t="s">
        <v>1646</v>
      </c>
      <c r="D21" s="1721" t="s">
        <v>1646</v>
      </c>
      <c r="E21" s="1721" t="s">
        <v>1646</v>
      </c>
      <c r="F21" s="1721" t="s">
        <v>1618</v>
      </c>
      <c r="G21" s="1721" t="s">
        <v>1622</v>
      </c>
      <c r="H21" s="1722" t="s">
        <v>1646</v>
      </c>
      <c r="I21" s="1722" t="s">
        <v>1646</v>
      </c>
      <c r="J21" s="1722" t="s">
        <v>1646</v>
      </c>
      <c r="K21" s="1722" t="s">
        <v>1646</v>
      </c>
      <c r="L21" s="1722">
        <v>266700000</v>
      </c>
      <c r="M21" s="1722">
        <v>0</v>
      </c>
      <c r="N21" s="1722">
        <v>0</v>
      </c>
      <c r="O21" s="1722">
        <v>266700000</v>
      </c>
      <c r="Q21"/>
    </row>
    <row r="22" spans="1:17" x14ac:dyDescent="0.25">
      <c r="A22" s="1721" t="s">
        <v>1646</v>
      </c>
      <c r="B22" s="1754" t="s">
        <v>1935</v>
      </c>
      <c r="C22" s="1721" t="s">
        <v>1592</v>
      </c>
      <c r="D22" s="1721" t="s">
        <v>1642</v>
      </c>
      <c r="E22" s="1721" t="s">
        <v>1650</v>
      </c>
      <c r="F22" s="1721" t="s">
        <v>1646</v>
      </c>
      <c r="G22" s="1721" t="s">
        <v>1646</v>
      </c>
      <c r="H22" s="1722">
        <v>102887200</v>
      </c>
      <c r="I22" s="1722">
        <v>0</v>
      </c>
      <c r="J22" s="1722">
        <v>0</v>
      </c>
      <c r="K22" s="1722">
        <v>102887200</v>
      </c>
      <c r="L22" s="1722">
        <v>0</v>
      </c>
      <c r="M22" s="1722">
        <v>0</v>
      </c>
      <c r="N22" s="1722">
        <v>0</v>
      </c>
      <c r="O22" s="1722">
        <v>0</v>
      </c>
      <c r="Q22"/>
    </row>
    <row r="23" spans="1:17" ht="39" x14ac:dyDescent="0.25">
      <c r="A23" s="1721" t="s">
        <v>1646</v>
      </c>
      <c r="B23" s="1754" t="s">
        <v>1936</v>
      </c>
      <c r="C23" s="1721" t="s">
        <v>1646</v>
      </c>
      <c r="D23" s="1721" t="s">
        <v>1646</v>
      </c>
      <c r="E23" s="1721" t="s">
        <v>1646</v>
      </c>
      <c r="F23" s="1721" t="s">
        <v>1646</v>
      </c>
      <c r="G23" s="1721" t="s">
        <v>1646</v>
      </c>
      <c r="H23" s="1722">
        <v>151786260</v>
      </c>
      <c r="I23" s="1722">
        <v>0</v>
      </c>
      <c r="J23" s="1722">
        <v>0</v>
      </c>
      <c r="K23" s="1722">
        <v>151786260</v>
      </c>
      <c r="L23" s="1722">
        <v>141427760</v>
      </c>
      <c r="M23" s="1722">
        <v>0</v>
      </c>
      <c r="N23" s="1722">
        <v>0</v>
      </c>
      <c r="O23" s="1722">
        <v>141427760</v>
      </c>
      <c r="P23" s="1749">
        <f>O23+O61</f>
        <v>145809500</v>
      </c>
      <c r="Q23"/>
    </row>
    <row r="24" spans="1:17" ht="26.25" x14ac:dyDescent="0.25">
      <c r="A24" s="1721" t="s">
        <v>1646</v>
      </c>
      <c r="B24" s="1754" t="s">
        <v>1937</v>
      </c>
      <c r="C24" s="1721" t="s">
        <v>1592</v>
      </c>
      <c r="D24" s="1721" t="s">
        <v>1600</v>
      </c>
      <c r="E24" s="1721" t="s">
        <v>1617</v>
      </c>
      <c r="F24" s="1721" t="s">
        <v>1646</v>
      </c>
      <c r="G24" s="1721" t="s">
        <v>1646</v>
      </c>
      <c r="H24" s="1722">
        <v>151786260</v>
      </c>
      <c r="I24" s="1722">
        <v>0</v>
      </c>
      <c r="J24" s="1722">
        <v>0</v>
      </c>
      <c r="K24" s="1722">
        <v>151786260</v>
      </c>
      <c r="L24" s="1722">
        <v>141427760</v>
      </c>
      <c r="M24" s="1722">
        <v>0</v>
      </c>
      <c r="N24" s="1722">
        <v>0</v>
      </c>
      <c r="O24" s="1722">
        <v>141427760</v>
      </c>
      <c r="Q24"/>
    </row>
    <row r="25" spans="1:17" x14ac:dyDescent="0.25">
      <c r="A25" s="1721" t="s">
        <v>1646</v>
      </c>
      <c r="B25" s="1754" t="s">
        <v>1646</v>
      </c>
      <c r="C25" s="1721" t="s">
        <v>1646</v>
      </c>
      <c r="D25" s="1721" t="s">
        <v>1646</v>
      </c>
      <c r="E25" s="1721" t="s">
        <v>1646</v>
      </c>
      <c r="F25" s="1721" t="s">
        <v>1652</v>
      </c>
      <c r="G25" s="1721" t="s">
        <v>1646</v>
      </c>
      <c r="H25" s="1722" t="s">
        <v>1646</v>
      </c>
      <c r="I25" s="1722" t="s">
        <v>1646</v>
      </c>
      <c r="J25" s="1722" t="s">
        <v>1646</v>
      </c>
      <c r="K25" s="1722" t="s">
        <v>1646</v>
      </c>
      <c r="L25" s="1722">
        <v>19681000</v>
      </c>
      <c r="M25" s="1722">
        <v>0</v>
      </c>
      <c r="N25" s="1722">
        <v>0</v>
      </c>
      <c r="O25" s="1722">
        <v>19681000</v>
      </c>
      <c r="Q25"/>
    </row>
    <row r="26" spans="1:17" x14ac:dyDescent="0.25">
      <c r="A26" s="1721" t="s">
        <v>1646</v>
      </c>
      <c r="B26" s="1754" t="s">
        <v>1646</v>
      </c>
      <c r="C26" s="1721" t="s">
        <v>1646</v>
      </c>
      <c r="D26" s="1721" t="s">
        <v>1646</v>
      </c>
      <c r="E26" s="1721" t="s">
        <v>1646</v>
      </c>
      <c r="F26" s="1721" t="s">
        <v>1652</v>
      </c>
      <c r="G26" s="1721" t="s">
        <v>1653</v>
      </c>
      <c r="H26" s="1722" t="s">
        <v>1646</v>
      </c>
      <c r="I26" s="1722" t="s">
        <v>1646</v>
      </c>
      <c r="J26" s="1722" t="s">
        <v>1646</v>
      </c>
      <c r="K26" s="1722" t="s">
        <v>1646</v>
      </c>
      <c r="L26" s="1722">
        <v>19681000</v>
      </c>
      <c r="M26" s="1722">
        <v>0</v>
      </c>
      <c r="N26" s="1722">
        <v>0</v>
      </c>
      <c r="O26" s="1722">
        <v>19681000</v>
      </c>
      <c r="Q26"/>
    </row>
    <row r="27" spans="1:17" x14ac:dyDescent="0.25">
      <c r="A27" s="1721" t="s">
        <v>1646</v>
      </c>
      <c r="B27" s="1754" t="s">
        <v>1646</v>
      </c>
      <c r="C27" s="1721" t="s">
        <v>1646</v>
      </c>
      <c r="D27" s="1721" t="s">
        <v>1646</v>
      </c>
      <c r="E27" s="1721" t="s">
        <v>1646</v>
      </c>
      <c r="F27" s="1721" t="s">
        <v>1654</v>
      </c>
      <c r="G27" s="1721" t="s">
        <v>1646</v>
      </c>
      <c r="H27" s="1722" t="s">
        <v>1646</v>
      </c>
      <c r="I27" s="1722" t="s">
        <v>1646</v>
      </c>
      <c r="J27" s="1722" t="s">
        <v>1646</v>
      </c>
      <c r="K27" s="1722" t="s">
        <v>1646</v>
      </c>
      <c r="L27" s="1722">
        <v>63420000</v>
      </c>
      <c r="M27" s="1722">
        <v>0</v>
      </c>
      <c r="N27" s="1722">
        <v>0</v>
      </c>
      <c r="O27" s="1722">
        <v>63420000</v>
      </c>
      <c r="Q27"/>
    </row>
    <row r="28" spans="1:17" x14ac:dyDescent="0.25">
      <c r="A28" s="1721" t="s">
        <v>1646</v>
      </c>
      <c r="B28" s="1754" t="s">
        <v>1646</v>
      </c>
      <c r="C28" s="1721" t="s">
        <v>1646</v>
      </c>
      <c r="D28" s="1721" t="s">
        <v>1646</v>
      </c>
      <c r="E28" s="1721" t="s">
        <v>1646</v>
      </c>
      <c r="F28" s="1721" t="s">
        <v>1654</v>
      </c>
      <c r="G28" s="1721" t="s">
        <v>1655</v>
      </c>
      <c r="H28" s="1722" t="s">
        <v>1646</v>
      </c>
      <c r="I28" s="1722" t="s">
        <v>1646</v>
      </c>
      <c r="J28" s="1722" t="s">
        <v>1646</v>
      </c>
      <c r="K28" s="1722" t="s">
        <v>1646</v>
      </c>
      <c r="L28" s="1722">
        <v>63420000</v>
      </c>
      <c r="M28" s="1722">
        <v>0</v>
      </c>
      <c r="N28" s="1722">
        <v>0</v>
      </c>
      <c r="O28" s="1722">
        <v>63420000</v>
      </c>
      <c r="Q28"/>
    </row>
    <row r="29" spans="1:17" x14ac:dyDescent="0.25">
      <c r="A29" s="1721" t="s">
        <v>1646</v>
      </c>
      <c r="B29" s="1754" t="s">
        <v>1646</v>
      </c>
      <c r="C29" s="1721" t="s">
        <v>1646</v>
      </c>
      <c r="D29" s="1721" t="s">
        <v>1646</v>
      </c>
      <c r="E29" s="1721" t="s">
        <v>1646</v>
      </c>
      <c r="F29" s="1721" t="s">
        <v>1618</v>
      </c>
      <c r="G29" s="1721" t="s">
        <v>1646</v>
      </c>
      <c r="H29" s="1722" t="s">
        <v>1646</v>
      </c>
      <c r="I29" s="1722" t="s">
        <v>1646</v>
      </c>
      <c r="J29" s="1722" t="s">
        <v>1646</v>
      </c>
      <c r="K29" s="1722" t="s">
        <v>1646</v>
      </c>
      <c r="L29" s="1722">
        <v>57314500</v>
      </c>
      <c r="M29" s="1722">
        <v>0</v>
      </c>
      <c r="N29" s="1722">
        <v>0</v>
      </c>
      <c r="O29" s="1722">
        <v>57314500</v>
      </c>
      <c r="Q29"/>
    </row>
    <row r="30" spans="1:17" x14ac:dyDescent="0.25">
      <c r="A30" s="1721" t="s">
        <v>1646</v>
      </c>
      <c r="B30" s="1754" t="s">
        <v>1646</v>
      </c>
      <c r="C30" s="1721" t="s">
        <v>1646</v>
      </c>
      <c r="D30" s="1721" t="s">
        <v>1646</v>
      </c>
      <c r="E30" s="1721" t="s">
        <v>1646</v>
      </c>
      <c r="F30" s="1721" t="s">
        <v>1618</v>
      </c>
      <c r="G30" s="1721" t="s">
        <v>1619</v>
      </c>
      <c r="H30" s="1722" t="s">
        <v>1646</v>
      </c>
      <c r="I30" s="1722" t="s">
        <v>1646</v>
      </c>
      <c r="J30" s="1722" t="s">
        <v>1646</v>
      </c>
      <c r="K30" s="1722" t="s">
        <v>1646</v>
      </c>
      <c r="L30" s="1722">
        <v>6706500</v>
      </c>
      <c r="M30" s="1722">
        <v>0</v>
      </c>
      <c r="N30" s="1722">
        <v>0</v>
      </c>
      <c r="O30" s="1722">
        <v>6706500</v>
      </c>
      <c r="Q30"/>
    </row>
    <row r="31" spans="1:17" x14ac:dyDescent="0.25">
      <c r="A31" s="1721" t="s">
        <v>1646</v>
      </c>
      <c r="B31" s="1754" t="s">
        <v>1646</v>
      </c>
      <c r="C31" s="1721" t="s">
        <v>1646</v>
      </c>
      <c r="D31" s="1721" t="s">
        <v>1646</v>
      </c>
      <c r="E31" s="1721" t="s">
        <v>1646</v>
      </c>
      <c r="F31" s="1721" t="s">
        <v>1618</v>
      </c>
      <c r="G31" s="1721" t="s">
        <v>1622</v>
      </c>
      <c r="H31" s="1722" t="s">
        <v>1646</v>
      </c>
      <c r="I31" s="1722" t="s">
        <v>1646</v>
      </c>
      <c r="J31" s="1722" t="s">
        <v>1646</v>
      </c>
      <c r="K31" s="1722" t="s">
        <v>1646</v>
      </c>
      <c r="L31" s="1722">
        <v>50608000</v>
      </c>
      <c r="M31" s="1722">
        <v>0</v>
      </c>
      <c r="N31" s="1722">
        <v>0</v>
      </c>
      <c r="O31" s="1722">
        <v>50608000</v>
      </c>
      <c r="Q31"/>
    </row>
    <row r="32" spans="1:17" x14ac:dyDescent="0.25">
      <c r="A32" s="1721" t="s">
        <v>1646</v>
      </c>
      <c r="B32" s="1754" t="s">
        <v>1646</v>
      </c>
      <c r="C32" s="1721" t="s">
        <v>1646</v>
      </c>
      <c r="D32" s="1721" t="s">
        <v>1646</v>
      </c>
      <c r="E32" s="1721" t="s">
        <v>1646</v>
      </c>
      <c r="F32" s="1721" t="s">
        <v>1615</v>
      </c>
      <c r="G32" s="1721" t="s">
        <v>1646</v>
      </c>
      <c r="H32" s="1722" t="s">
        <v>1646</v>
      </c>
      <c r="I32" s="1722" t="s">
        <v>1646</v>
      </c>
      <c r="J32" s="1722" t="s">
        <v>1646</v>
      </c>
      <c r="K32" s="1722" t="s">
        <v>1646</v>
      </c>
      <c r="L32" s="1722">
        <v>1012260</v>
      </c>
      <c r="M32" s="1722">
        <v>0</v>
      </c>
      <c r="N32" s="1722">
        <v>0</v>
      </c>
      <c r="O32" s="1722">
        <v>1012260</v>
      </c>
      <c r="Q32"/>
    </row>
    <row r="33" spans="1:15" customFormat="1" x14ac:dyDescent="0.25">
      <c r="A33" s="1721" t="s">
        <v>1646</v>
      </c>
      <c r="B33" s="1754" t="s">
        <v>1646</v>
      </c>
      <c r="C33" s="1721" t="s">
        <v>1646</v>
      </c>
      <c r="D33" s="1721" t="s">
        <v>1646</v>
      </c>
      <c r="E33" s="1721" t="s">
        <v>1646</v>
      </c>
      <c r="F33" s="1721" t="s">
        <v>1615</v>
      </c>
      <c r="G33" s="1721" t="s">
        <v>1616</v>
      </c>
      <c r="H33" s="1722" t="s">
        <v>1646</v>
      </c>
      <c r="I33" s="1722" t="s">
        <v>1646</v>
      </c>
      <c r="J33" s="1722" t="s">
        <v>1646</v>
      </c>
      <c r="K33" s="1722" t="s">
        <v>1646</v>
      </c>
      <c r="L33" s="1722">
        <v>1012260</v>
      </c>
      <c r="M33" s="1722">
        <v>0</v>
      </c>
      <c r="N33" s="1722">
        <v>0</v>
      </c>
      <c r="O33" s="1722">
        <v>1012260</v>
      </c>
    </row>
    <row r="34" spans="1:15" customFormat="1" ht="26.25" x14ac:dyDescent="0.25">
      <c r="A34" s="1721" t="s">
        <v>1646</v>
      </c>
      <c r="B34" s="1754" t="s">
        <v>1938</v>
      </c>
      <c r="C34" s="1721" t="s">
        <v>1646</v>
      </c>
      <c r="D34" s="1721" t="s">
        <v>1646</v>
      </c>
      <c r="E34" s="1721" t="s">
        <v>1646</v>
      </c>
      <c r="F34" s="1721" t="s">
        <v>1646</v>
      </c>
      <c r="G34" s="1721" t="s">
        <v>1646</v>
      </c>
      <c r="H34" s="1722">
        <v>64000000</v>
      </c>
      <c r="I34" s="1722">
        <v>0</v>
      </c>
      <c r="J34" s="1722">
        <v>0</v>
      </c>
      <c r="K34" s="1722">
        <v>64000000</v>
      </c>
      <c r="L34" s="1722">
        <v>64000000</v>
      </c>
      <c r="M34" s="1722">
        <v>0</v>
      </c>
      <c r="N34" s="1722">
        <v>0</v>
      </c>
      <c r="O34" s="1722">
        <v>64000000</v>
      </c>
    </row>
    <row r="35" spans="1:15" customFormat="1" x14ac:dyDescent="0.25">
      <c r="A35" s="1721" t="s">
        <v>1646</v>
      </c>
      <c r="B35" s="1754" t="s">
        <v>1935</v>
      </c>
      <c r="C35" s="1721" t="s">
        <v>1592</v>
      </c>
      <c r="D35" s="1721" t="s">
        <v>1620</v>
      </c>
      <c r="E35" s="1721" t="s">
        <v>1621</v>
      </c>
      <c r="F35" s="1721" t="s">
        <v>1646</v>
      </c>
      <c r="G35" s="1721" t="s">
        <v>1646</v>
      </c>
      <c r="H35" s="1722">
        <v>50000000</v>
      </c>
      <c r="I35" s="1722">
        <v>0</v>
      </c>
      <c r="J35" s="1722">
        <v>0</v>
      </c>
      <c r="K35" s="1722">
        <v>50000000</v>
      </c>
      <c r="L35" s="1722">
        <v>50000000</v>
      </c>
      <c r="M35" s="1722">
        <v>0</v>
      </c>
      <c r="N35" s="1722">
        <v>0</v>
      </c>
      <c r="O35" s="1722">
        <v>50000000</v>
      </c>
    </row>
    <row r="36" spans="1:15" customFormat="1" x14ac:dyDescent="0.25">
      <c r="A36" s="1721" t="s">
        <v>1646</v>
      </c>
      <c r="B36" s="1754" t="s">
        <v>1646</v>
      </c>
      <c r="C36" s="1721" t="s">
        <v>1646</v>
      </c>
      <c r="D36" s="1721" t="s">
        <v>1646</v>
      </c>
      <c r="E36" s="1721" t="s">
        <v>1646</v>
      </c>
      <c r="F36" s="1721" t="s">
        <v>1652</v>
      </c>
      <c r="G36" s="1721" t="s">
        <v>1646</v>
      </c>
      <c r="H36" s="1722" t="s">
        <v>1646</v>
      </c>
      <c r="I36" s="1722" t="s">
        <v>1646</v>
      </c>
      <c r="J36" s="1722" t="s">
        <v>1646</v>
      </c>
      <c r="K36" s="1722" t="s">
        <v>1646</v>
      </c>
      <c r="L36" s="1722">
        <v>50000000</v>
      </c>
      <c r="M36" s="1722">
        <v>0</v>
      </c>
      <c r="N36" s="1722">
        <v>0</v>
      </c>
      <c r="O36" s="1722">
        <v>50000000</v>
      </c>
    </row>
    <row r="37" spans="1:15" customFormat="1" x14ac:dyDescent="0.25">
      <c r="A37" s="1721" t="s">
        <v>1646</v>
      </c>
      <c r="B37" s="1754" t="s">
        <v>1646</v>
      </c>
      <c r="C37" s="1721" t="s">
        <v>1646</v>
      </c>
      <c r="D37" s="1721" t="s">
        <v>1646</v>
      </c>
      <c r="E37" s="1721" t="s">
        <v>1646</v>
      </c>
      <c r="F37" s="1721" t="s">
        <v>1652</v>
      </c>
      <c r="G37" s="1721" t="s">
        <v>1653</v>
      </c>
      <c r="H37" s="1722" t="s">
        <v>1646</v>
      </c>
      <c r="I37" s="1722" t="s">
        <v>1646</v>
      </c>
      <c r="J37" s="1722" t="s">
        <v>1646</v>
      </c>
      <c r="K37" s="1722" t="s">
        <v>1646</v>
      </c>
      <c r="L37" s="1722">
        <v>50000000</v>
      </c>
      <c r="M37" s="1722">
        <v>0</v>
      </c>
      <c r="N37" s="1722">
        <v>0</v>
      </c>
      <c r="O37" s="1722">
        <v>50000000</v>
      </c>
    </row>
    <row r="38" spans="1:15" customFormat="1" ht="26.25" x14ac:dyDescent="0.25">
      <c r="A38" s="1721" t="s">
        <v>1646</v>
      </c>
      <c r="B38" s="1754" t="s">
        <v>1937</v>
      </c>
      <c r="C38" s="1721" t="s">
        <v>1592</v>
      </c>
      <c r="D38" s="1721" t="s">
        <v>1620</v>
      </c>
      <c r="E38" s="1721" t="s">
        <v>1621</v>
      </c>
      <c r="F38" s="1721" t="s">
        <v>1646</v>
      </c>
      <c r="G38" s="1721" t="s">
        <v>1646</v>
      </c>
      <c r="H38" s="1722">
        <v>14000000</v>
      </c>
      <c r="I38" s="1722">
        <v>0</v>
      </c>
      <c r="J38" s="1722">
        <v>0</v>
      </c>
      <c r="K38" s="1722">
        <v>14000000</v>
      </c>
      <c r="L38" s="1722">
        <v>14000000</v>
      </c>
      <c r="M38" s="1722">
        <v>0</v>
      </c>
      <c r="N38" s="1722">
        <v>0</v>
      </c>
      <c r="O38" s="1722">
        <v>14000000</v>
      </c>
    </row>
    <row r="39" spans="1:15" customFormat="1" x14ac:dyDescent="0.25">
      <c r="A39" s="1721" t="s">
        <v>1646</v>
      </c>
      <c r="B39" s="1754" t="s">
        <v>1646</v>
      </c>
      <c r="C39" s="1721" t="s">
        <v>1646</v>
      </c>
      <c r="D39" s="1721" t="s">
        <v>1646</v>
      </c>
      <c r="E39" s="1721" t="s">
        <v>1646</v>
      </c>
      <c r="F39" s="1721" t="s">
        <v>1609</v>
      </c>
      <c r="G39" s="1721" t="s">
        <v>1646</v>
      </c>
      <c r="H39" s="1722" t="s">
        <v>1646</v>
      </c>
      <c r="I39" s="1722" t="s">
        <v>1646</v>
      </c>
      <c r="J39" s="1722" t="s">
        <v>1646</v>
      </c>
      <c r="K39" s="1722" t="s">
        <v>1646</v>
      </c>
      <c r="L39" s="1722">
        <v>14000000</v>
      </c>
      <c r="M39" s="1722">
        <v>0</v>
      </c>
      <c r="N39" s="1722">
        <v>0</v>
      </c>
      <c r="O39" s="1722">
        <v>14000000</v>
      </c>
    </row>
    <row r="40" spans="1:15" customFormat="1" x14ac:dyDescent="0.25">
      <c r="A40" s="1721" t="s">
        <v>1646</v>
      </c>
      <c r="B40" s="1754" t="s">
        <v>1646</v>
      </c>
      <c r="C40" s="1721" t="s">
        <v>1646</v>
      </c>
      <c r="D40" s="1721" t="s">
        <v>1646</v>
      </c>
      <c r="E40" s="1721" t="s">
        <v>1646</v>
      </c>
      <c r="F40" s="1721" t="s">
        <v>1609</v>
      </c>
      <c r="G40" s="1721" t="s">
        <v>1610</v>
      </c>
      <c r="H40" s="1722" t="s">
        <v>1646</v>
      </c>
      <c r="I40" s="1722" t="s">
        <v>1646</v>
      </c>
      <c r="J40" s="1722" t="s">
        <v>1646</v>
      </c>
      <c r="K40" s="1722" t="s">
        <v>1646</v>
      </c>
      <c r="L40" s="1722">
        <v>2661120</v>
      </c>
      <c r="M40" s="1722">
        <v>0</v>
      </c>
      <c r="N40" s="1722">
        <v>0</v>
      </c>
      <c r="O40" s="1722">
        <v>2661120</v>
      </c>
    </row>
    <row r="41" spans="1:15" customFormat="1" x14ac:dyDescent="0.25">
      <c r="A41" s="1721" t="s">
        <v>1646</v>
      </c>
      <c r="B41" s="1754" t="s">
        <v>1646</v>
      </c>
      <c r="C41" s="1721" t="s">
        <v>1646</v>
      </c>
      <c r="D41" s="1721" t="s">
        <v>1646</v>
      </c>
      <c r="E41" s="1721" t="s">
        <v>1646</v>
      </c>
      <c r="F41" s="1721" t="s">
        <v>1609</v>
      </c>
      <c r="G41" s="1721" t="s">
        <v>1611</v>
      </c>
      <c r="H41" s="1722" t="s">
        <v>1646</v>
      </c>
      <c r="I41" s="1722" t="s">
        <v>1646</v>
      </c>
      <c r="J41" s="1722" t="s">
        <v>1646</v>
      </c>
      <c r="K41" s="1722" t="s">
        <v>1646</v>
      </c>
      <c r="L41" s="1722">
        <v>800000</v>
      </c>
      <c r="M41" s="1722">
        <v>0</v>
      </c>
      <c r="N41" s="1722">
        <v>0</v>
      </c>
      <c r="O41" s="1722">
        <v>800000</v>
      </c>
    </row>
    <row r="42" spans="1:15" customFormat="1" x14ac:dyDescent="0.25">
      <c r="A42" s="1721" t="s">
        <v>1646</v>
      </c>
      <c r="B42" s="1754" t="s">
        <v>1646</v>
      </c>
      <c r="C42" s="1721" t="s">
        <v>1646</v>
      </c>
      <c r="D42" s="1721" t="s">
        <v>1646</v>
      </c>
      <c r="E42" s="1721" t="s">
        <v>1646</v>
      </c>
      <c r="F42" s="1721" t="s">
        <v>1609</v>
      </c>
      <c r="G42" s="1721" t="s">
        <v>1828</v>
      </c>
      <c r="H42" s="1722" t="s">
        <v>1646</v>
      </c>
      <c r="I42" s="1722" t="s">
        <v>1646</v>
      </c>
      <c r="J42" s="1722" t="s">
        <v>1646</v>
      </c>
      <c r="K42" s="1722" t="s">
        <v>1646</v>
      </c>
      <c r="L42" s="1722">
        <v>7800000</v>
      </c>
      <c r="M42" s="1722">
        <v>0</v>
      </c>
      <c r="N42" s="1722">
        <v>0</v>
      </c>
      <c r="O42" s="1722">
        <v>7800000</v>
      </c>
    </row>
    <row r="43" spans="1:15" customFormat="1" x14ac:dyDescent="0.25">
      <c r="A43" s="1721" t="s">
        <v>1646</v>
      </c>
      <c r="B43" s="1754" t="s">
        <v>1646</v>
      </c>
      <c r="C43" s="1721" t="s">
        <v>1646</v>
      </c>
      <c r="D43" s="1721" t="s">
        <v>1646</v>
      </c>
      <c r="E43" s="1721" t="s">
        <v>1646</v>
      </c>
      <c r="F43" s="1721" t="s">
        <v>1609</v>
      </c>
      <c r="G43" s="1721" t="s">
        <v>1612</v>
      </c>
      <c r="H43" s="1722" t="s">
        <v>1646</v>
      </c>
      <c r="I43" s="1722" t="s">
        <v>1646</v>
      </c>
      <c r="J43" s="1722" t="s">
        <v>1646</v>
      </c>
      <c r="K43" s="1722" t="s">
        <v>1646</v>
      </c>
      <c r="L43" s="1722">
        <v>2738880</v>
      </c>
      <c r="M43" s="1722">
        <v>0</v>
      </c>
      <c r="N43" s="1722">
        <v>0</v>
      </c>
      <c r="O43" s="1722">
        <v>2738880</v>
      </c>
    </row>
    <row r="44" spans="1:15" customFormat="1" ht="39" x14ac:dyDescent="0.25">
      <c r="A44" s="1721" t="s">
        <v>1646</v>
      </c>
      <c r="B44" s="1754" t="s">
        <v>1939</v>
      </c>
      <c r="C44" s="1721" t="s">
        <v>1646</v>
      </c>
      <c r="D44" s="1721" t="s">
        <v>1646</v>
      </c>
      <c r="E44" s="1721" t="s">
        <v>1646</v>
      </c>
      <c r="F44" s="1721" t="s">
        <v>1646</v>
      </c>
      <c r="G44" s="1721" t="s">
        <v>1646</v>
      </c>
      <c r="H44" s="1722">
        <v>271000000</v>
      </c>
      <c r="I44" s="1722">
        <v>0</v>
      </c>
      <c r="J44" s="1722">
        <v>0</v>
      </c>
      <c r="K44" s="1722">
        <v>271000000</v>
      </c>
      <c r="L44" s="1722">
        <v>203063300</v>
      </c>
      <c r="M44" s="1722">
        <v>0</v>
      </c>
      <c r="N44" s="1722">
        <v>0</v>
      </c>
      <c r="O44" s="1722">
        <v>203063300</v>
      </c>
    </row>
    <row r="45" spans="1:15" customFormat="1" x14ac:dyDescent="0.25">
      <c r="A45" s="1721" t="s">
        <v>1646</v>
      </c>
      <c r="B45" s="1754" t="s">
        <v>1935</v>
      </c>
      <c r="C45" s="1721" t="s">
        <v>1592</v>
      </c>
      <c r="D45" s="1721" t="s">
        <v>1642</v>
      </c>
      <c r="E45" s="1721" t="s">
        <v>1650</v>
      </c>
      <c r="F45" s="1721" t="s">
        <v>1646</v>
      </c>
      <c r="G45" s="1721" t="s">
        <v>1646</v>
      </c>
      <c r="H45" s="1722">
        <v>271000000</v>
      </c>
      <c r="I45" s="1722">
        <v>0</v>
      </c>
      <c r="J45" s="1722">
        <v>0</v>
      </c>
      <c r="K45" s="1722">
        <v>271000000</v>
      </c>
      <c r="L45" s="1722">
        <v>203063300</v>
      </c>
      <c r="M45" s="1722">
        <v>0</v>
      </c>
      <c r="N45" s="1722">
        <v>0</v>
      </c>
      <c r="O45" s="1722">
        <v>203063300</v>
      </c>
    </row>
    <row r="46" spans="1:15" customFormat="1" x14ac:dyDescent="0.25">
      <c r="A46" s="1721" t="s">
        <v>1646</v>
      </c>
      <c r="B46" s="1754" t="s">
        <v>1646</v>
      </c>
      <c r="C46" s="1721" t="s">
        <v>1646</v>
      </c>
      <c r="D46" s="1721" t="s">
        <v>1646</v>
      </c>
      <c r="E46" s="1721" t="s">
        <v>1646</v>
      </c>
      <c r="F46" s="1721" t="s">
        <v>1609</v>
      </c>
      <c r="G46" s="1721" t="s">
        <v>1646</v>
      </c>
      <c r="H46" s="1722" t="s">
        <v>1646</v>
      </c>
      <c r="I46" s="1722" t="s">
        <v>1646</v>
      </c>
      <c r="J46" s="1722" t="s">
        <v>1646</v>
      </c>
      <c r="K46" s="1722" t="s">
        <v>1646</v>
      </c>
      <c r="L46" s="1722">
        <v>15376800</v>
      </c>
      <c r="M46" s="1722">
        <v>0</v>
      </c>
      <c r="N46" s="1722">
        <v>0</v>
      </c>
      <c r="O46" s="1722">
        <v>15376800</v>
      </c>
    </row>
    <row r="47" spans="1:15" customFormat="1" x14ac:dyDescent="0.25">
      <c r="A47" s="1721" t="s">
        <v>1646</v>
      </c>
      <c r="B47" s="1754" t="s">
        <v>1646</v>
      </c>
      <c r="C47" s="1721" t="s">
        <v>1646</v>
      </c>
      <c r="D47" s="1721" t="s">
        <v>1646</v>
      </c>
      <c r="E47" s="1721" t="s">
        <v>1646</v>
      </c>
      <c r="F47" s="1721" t="s">
        <v>1609</v>
      </c>
      <c r="G47" s="1721" t="s">
        <v>1610</v>
      </c>
      <c r="H47" s="1722" t="s">
        <v>1646</v>
      </c>
      <c r="I47" s="1722" t="s">
        <v>1646</v>
      </c>
      <c r="J47" s="1722" t="s">
        <v>1646</v>
      </c>
      <c r="K47" s="1722" t="s">
        <v>1646</v>
      </c>
      <c r="L47" s="1722">
        <v>3166800</v>
      </c>
      <c r="M47" s="1722">
        <v>0</v>
      </c>
      <c r="N47" s="1722">
        <v>0</v>
      </c>
      <c r="O47" s="1722">
        <v>3166800</v>
      </c>
    </row>
    <row r="48" spans="1:15" customFormat="1" x14ac:dyDescent="0.25">
      <c r="A48" s="1721" t="s">
        <v>1646</v>
      </c>
      <c r="B48" s="1754" t="s">
        <v>1646</v>
      </c>
      <c r="C48" s="1721" t="s">
        <v>1646</v>
      </c>
      <c r="D48" s="1721" t="s">
        <v>1646</v>
      </c>
      <c r="E48" s="1721" t="s">
        <v>1646</v>
      </c>
      <c r="F48" s="1721" t="s">
        <v>1609</v>
      </c>
      <c r="G48" s="1721" t="s">
        <v>1612</v>
      </c>
      <c r="H48" s="1722" t="s">
        <v>1646</v>
      </c>
      <c r="I48" s="1722" t="s">
        <v>1646</v>
      </c>
      <c r="J48" s="1722" t="s">
        <v>1646</v>
      </c>
      <c r="K48" s="1722" t="s">
        <v>1646</v>
      </c>
      <c r="L48" s="1722">
        <v>12210000</v>
      </c>
      <c r="M48" s="1722">
        <v>0</v>
      </c>
      <c r="N48" s="1722">
        <v>0</v>
      </c>
      <c r="O48" s="1722">
        <v>12210000</v>
      </c>
    </row>
    <row r="49" spans="1:15" customFormat="1" x14ac:dyDescent="0.25">
      <c r="A49" s="1721" t="s">
        <v>1646</v>
      </c>
      <c r="B49" s="1754" t="s">
        <v>1646</v>
      </c>
      <c r="C49" s="1721" t="s">
        <v>1646</v>
      </c>
      <c r="D49" s="1721" t="s">
        <v>1646</v>
      </c>
      <c r="E49" s="1721" t="s">
        <v>1646</v>
      </c>
      <c r="F49" s="1721" t="s">
        <v>1660</v>
      </c>
      <c r="G49" s="1721" t="s">
        <v>1646</v>
      </c>
      <c r="H49" s="1722" t="s">
        <v>1646</v>
      </c>
      <c r="I49" s="1722" t="s">
        <v>1646</v>
      </c>
      <c r="J49" s="1722" t="s">
        <v>1646</v>
      </c>
      <c r="K49" s="1722" t="s">
        <v>1646</v>
      </c>
      <c r="L49" s="1722">
        <v>143200000</v>
      </c>
      <c r="M49" s="1722">
        <v>0</v>
      </c>
      <c r="N49" s="1722">
        <v>0</v>
      </c>
      <c r="O49" s="1722">
        <v>143200000</v>
      </c>
    </row>
    <row r="50" spans="1:15" customFormat="1" x14ac:dyDescent="0.25">
      <c r="A50" s="1721" t="s">
        <v>1646</v>
      </c>
      <c r="B50" s="1754" t="s">
        <v>1646</v>
      </c>
      <c r="C50" s="1721" t="s">
        <v>1646</v>
      </c>
      <c r="D50" s="1721" t="s">
        <v>1646</v>
      </c>
      <c r="E50" s="1721" t="s">
        <v>1646</v>
      </c>
      <c r="F50" s="1721" t="s">
        <v>1660</v>
      </c>
      <c r="G50" s="1721" t="s">
        <v>1661</v>
      </c>
      <c r="H50" s="1722" t="s">
        <v>1646</v>
      </c>
      <c r="I50" s="1722" t="s">
        <v>1646</v>
      </c>
      <c r="J50" s="1722" t="s">
        <v>1646</v>
      </c>
      <c r="K50" s="1722" t="s">
        <v>1646</v>
      </c>
      <c r="L50" s="1722">
        <v>40800000</v>
      </c>
      <c r="M50" s="1722">
        <v>0</v>
      </c>
      <c r="N50" s="1722">
        <v>0</v>
      </c>
      <c r="O50" s="1722">
        <v>40800000</v>
      </c>
    </row>
    <row r="51" spans="1:15" customFormat="1" x14ac:dyDescent="0.25">
      <c r="A51" s="1721" t="s">
        <v>1646</v>
      </c>
      <c r="B51" s="1754" t="s">
        <v>1646</v>
      </c>
      <c r="C51" s="1721" t="s">
        <v>1646</v>
      </c>
      <c r="D51" s="1721" t="s">
        <v>1646</v>
      </c>
      <c r="E51" s="1721" t="s">
        <v>1646</v>
      </c>
      <c r="F51" s="1721" t="s">
        <v>1660</v>
      </c>
      <c r="G51" s="1721" t="s">
        <v>1662</v>
      </c>
      <c r="H51" s="1722" t="s">
        <v>1646</v>
      </c>
      <c r="I51" s="1722" t="s">
        <v>1646</v>
      </c>
      <c r="J51" s="1722" t="s">
        <v>1646</v>
      </c>
      <c r="K51" s="1722" t="s">
        <v>1646</v>
      </c>
      <c r="L51" s="1722">
        <v>66936000</v>
      </c>
      <c r="M51" s="1722">
        <v>0</v>
      </c>
      <c r="N51" s="1722">
        <v>0</v>
      </c>
      <c r="O51" s="1722">
        <v>66936000</v>
      </c>
    </row>
    <row r="52" spans="1:15" customFormat="1" x14ac:dyDescent="0.25">
      <c r="A52" s="1721" t="s">
        <v>1646</v>
      </c>
      <c r="B52" s="1754" t="s">
        <v>1646</v>
      </c>
      <c r="C52" s="1721" t="s">
        <v>1646</v>
      </c>
      <c r="D52" s="1721" t="s">
        <v>1646</v>
      </c>
      <c r="E52" s="1721" t="s">
        <v>1646</v>
      </c>
      <c r="F52" s="1721" t="s">
        <v>1660</v>
      </c>
      <c r="G52" s="1721" t="s">
        <v>1843</v>
      </c>
      <c r="H52" s="1722" t="s">
        <v>1646</v>
      </c>
      <c r="I52" s="1722" t="s">
        <v>1646</v>
      </c>
      <c r="J52" s="1722" t="s">
        <v>1646</v>
      </c>
      <c r="K52" s="1722" t="s">
        <v>1646</v>
      </c>
      <c r="L52" s="1722">
        <v>35464000</v>
      </c>
      <c r="M52" s="1722">
        <v>0</v>
      </c>
      <c r="N52" s="1722">
        <v>0</v>
      </c>
      <c r="O52" s="1722">
        <v>35464000</v>
      </c>
    </row>
    <row r="53" spans="1:15" customFormat="1" x14ac:dyDescent="0.25">
      <c r="A53" s="1721" t="s">
        <v>1646</v>
      </c>
      <c r="B53" s="1754" t="s">
        <v>1646</v>
      </c>
      <c r="C53" s="1721" t="s">
        <v>1646</v>
      </c>
      <c r="D53" s="1721" t="s">
        <v>1646</v>
      </c>
      <c r="E53" s="1721" t="s">
        <v>1646</v>
      </c>
      <c r="F53" s="1721" t="s">
        <v>1654</v>
      </c>
      <c r="G53" s="1721" t="s">
        <v>1646</v>
      </c>
      <c r="H53" s="1722" t="s">
        <v>1646</v>
      </c>
      <c r="I53" s="1722" t="s">
        <v>1646</v>
      </c>
      <c r="J53" s="1722" t="s">
        <v>1646</v>
      </c>
      <c r="K53" s="1722" t="s">
        <v>1646</v>
      </c>
      <c r="L53" s="1722">
        <v>33800000</v>
      </c>
      <c r="M53" s="1722">
        <v>0</v>
      </c>
      <c r="N53" s="1722">
        <v>0</v>
      </c>
      <c r="O53" s="1722">
        <v>33800000</v>
      </c>
    </row>
    <row r="54" spans="1:15" customFormat="1" x14ac:dyDescent="0.25">
      <c r="A54" s="1721" t="s">
        <v>1646</v>
      </c>
      <c r="B54" s="1754" t="s">
        <v>1646</v>
      </c>
      <c r="C54" s="1721" t="s">
        <v>1646</v>
      </c>
      <c r="D54" s="1721" t="s">
        <v>1646</v>
      </c>
      <c r="E54" s="1721" t="s">
        <v>1646</v>
      </c>
      <c r="F54" s="1721" t="s">
        <v>1654</v>
      </c>
      <c r="G54" s="1721" t="s">
        <v>1663</v>
      </c>
      <c r="H54" s="1722" t="s">
        <v>1646</v>
      </c>
      <c r="I54" s="1722" t="s">
        <v>1646</v>
      </c>
      <c r="J54" s="1722" t="s">
        <v>1646</v>
      </c>
      <c r="K54" s="1722" t="s">
        <v>1646</v>
      </c>
      <c r="L54" s="1722">
        <v>33800000</v>
      </c>
      <c r="M54" s="1722">
        <v>0</v>
      </c>
      <c r="N54" s="1722">
        <v>0</v>
      </c>
      <c r="O54" s="1722">
        <v>33800000</v>
      </c>
    </row>
    <row r="55" spans="1:15" customFormat="1" x14ac:dyDescent="0.25">
      <c r="A55" s="1721" t="s">
        <v>1646</v>
      </c>
      <c r="B55" s="1754" t="s">
        <v>1646</v>
      </c>
      <c r="C55" s="1721" t="s">
        <v>1646</v>
      </c>
      <c r="D55" s="1721" t="s">
        <v>1646</v>
      </c>
      <c r="E55" s="1721" t="s">
        <v>1646</v>
      </c>
      <c r="F55" s="1721" t="s">
        <v>1618</v>
      </c>
      <c r="G55" s="1721" t="s">
        <v>1646</v>
      </c>
      <c r="H55" s="1722" t="s">
        <v>1646</v>
      </c>
      <c r="I55" s="1722" t="s">
        <v>1646</v>
      </c>
      <c r="J55" s="1722" t="s">
        <v>1646</v>
      </c>
      <c r="K55" s="1722" t="s">
        <v>1646</v>
      </c>
      <c r="L55" s="1722">
        <v>10686500</v>
      </c>
      <c r="M55" s="1722">
        <v>0</v>
      </c>
      <c r="N55" s="1722">
        <v>0</v>
      </c>
      <c r="O55" s="1722">
        <v>10686500</v>
      </c>
    </row>
    <row r="56" spans="1:15" customFormat="1" x14ac:dyDescent="0.25">
      <c r="A56" s="1721" t="s">
        <v>1646</v>
      </c>
      <c r="B56" s="1754" t="s">
        <v>1646</v>
      </c>
      <c r="C56" s="1721" t="s">
        <v>1646</v>
      </c>
      <c r="D56" s="1721" t="s">
        <v>1646</v>
      </c>
      <c r="E56" s="1721" t="s">
        <v>1646</v>
      </c>
      <c r="F56" s="1721" t="s">
        <v>1618</v>
      </c>
      <c r="G56" s="1721" t="s">
        <v>1619</v>
      </c>
      <c r="H56" s="1722" t="s">
        <v>1646</v>
      </c>
      <c r="I56" s="1722" t="s">
        <v>1646</v>
      </c>
      <c r="J56" s="1722" t="s">
        <v>1646</v>
      </c>
      <c r="K56" s="1722" t="s">
        <v>1646</v>
      </c>
      <c r="L56" s="1722">
        <v>2111500</v>
      </c>
      <c r="M56" s="1722">
        <v>0</v>
      </c>
      <c r="N56" s="1722">
        <v>0</v>
      </c>
      <c r="O56" s="1722">
        <v>2111500</v>
      </c>
    </row>
    <row r="57" spans="1:15" customFormat="1" x14ac:dyDescent="0.25">
      <c r="A57" s="1721" t="s">
        <v>1646</v>
      </c>
      <c r="B57" s="1754" t="s">
        <v>1646</v>
      </c>
      <c r="C57" s="1721" t="s">
        <v>1646</v>
      </c>
      <c r="D57" s="1721" t="s">
        <v>1646</v>
      </c>
      <c r="E57" s="1721" t="s">
        <v>1646</v>
      </c>
      <c r="F57" s="1721" t="s">
        <v>1618</v>
      </c>
      <c r="G57" s="1721" t="s">
        <v>1622</v>
      </c>
      <c r="H57" s="1722" t="s">
        <v>1646</v>
      </c>
      <c r="I57" s="1722" t="s">
        <v>1646</v>
      </c>
      <c r="J57" s="1722" t="s">
        <v>1646</v>
      </c>
      <c r="K57" s="1722" t="s">
        <v>1646</v>
      </c>
      <c r="L57" s="1722">
        <v>8575000</v>
      </c>
      <c r="M57" s="1722">
        <v>0</v>
      </c>
      <c r="N57" s="1722">
        <v>0</v>
      </c>
      <c r="O57" s="1722">
        <v>8575000</v>
      </c>
    </row>
    <row r="58" spans="1:15" customFormat="1" ht="39" x14ac:dyDescent="0.25">
      <c r="A58" s="1721" t="s">
        <v>1646</v>
      </c>
      <c r="B58" s="1754" t="s">
        <v>1940</v>
      </c>
      <c r="C58" s="1721" t="s">
        <v>1646</v>
      </c>
      <c r="D58" s="1721" t="s">
        <v>1646</v>
      </c>
      <c r="E58" s="1721" t="s">
        <v>1646</v>
      </c>
      <c r="F58" s="1721" t="s">
        <v>1646</v>
      </c>
      <c r="G58" s="1721" t="s">
        <v>1646</v>
      </c>
      <c r="H58" s="1722">
        <v>35000000</v>
      </c>
      <c r="I58" s="1722">
        <v>0</v>
      </c>
      <c r="J58" s="1722">
        <v>0</v>
      </c>
      <c r="K58" s="1722">
        <v>35000000</v>
      </c>
      <c r="L58" s="1722">
        <v>0</v>
      </c>
      <c r="M58" s="1722">
        <v>0</v>
      </c>
      <c r="N58" s="1722">
        <v>0</v>
      </c>
      <c r="O58" s="1722">
        <v>0</v>
      </c>
    </row>
    <row r="59" spans="1:15" customFormat="1" x14ac:dyDescent="0.25">
      <c r="A59" s="1721" t="s">
        <v>1646</v>
      </c>
      <c r="B59" s="1754" t="s">
        <v>1935</v>
      </c>
      <c r="C59" s="1721" t="s">
        <v>1592</v>
      </c>
      <c r="D59" s="1721" t="s">
        <v>1600</v>
      </c>
      <c r="E59" s="1721" t="s">
        <v>1617</v>
      </c>
      <c r="F59" s="1721" t="s">
        <v>1646</v>
      </c>
      <c r="G59" s="1721" t="s">
        <v>1646</v>
      </c>
      <c r="H59" s="1722">
        <v>14000000</v>
      </c>
      <c r="I59" s="1722">
        <v>0</v>
      </c>
      <c r="J59" s="1722">
        <v>0</v>
      </c>
      <c r="K59" s="1722">
        <v>14000000</v>
      </c>
      <c r="L59" s="1722">
        <v>0</v>
      </c>
      <c r="M59" s="1722">
        <v>0</v>
      </c>
      <c r="N59" s="1722">
        <v>0</v>
      </c>
      <c r="O59" s="1722">
        <v>0</v>
      </c>
    </row>
    <row r="60" spans="1:15" customFormat="1" x14ac:dyDescent="0.25">
      <c r="A60" s="1721" t="s">
        <v>1646</v>
      </c>
      <c r="B60" s="1754" t="s">
        <v>1935</v>
      </c>
      <c r="C60" s="1721" t="s">
        <v>1592</v>
      </c>
      <c r="D60" s="1721" t="s">
        <v>1642</v>
      </c>
      <c r="E60" s="1721" t="s">
        <v>1650</v>
      </c>
      <c r="F60" s="1721" t="s">
        <v>1646</v>
      </c>
      <c r="G60" s="1721" t="s">
        <v>1646</v>
      </c>
      <c r="H60" s="1722">
        <v>21000000</v>
      </c>
      <c r="I60" s="1722">
        <v>0</v>
      </c>
      <c r="J60" s="1722">
        <v>0</v>
      </c>
      <c r="K60" s="1722">
        <v>21000000</v>
      </c>
      <c r="L60" s="1722">
        <v>0</v>
      </c>
      <c r="M60" s="1722">
        <v>0</v>
      </c>
      <c r="N60" s="1722">
        <v>0</v>
      </c>
      <c r="O60" s="1722">
        <v>0</v>
      </c>
    </row>
    <row r="61" spans="1:15" customFormat="1" ht="39" x14ac:dyDescent="0.25">
      <c r="A61" s="1721" t="s">
        <v>1646</v>
      </c>
      <c r="B61" s="1754" t="s">
        <v>1941</v>
      </c>
      <c r="C61" s="1721" t="s">
        <v>1646</v>
      </c>
      <c r="D61" s="1721" t="s">
        <v>1646</v>
      </c>
      <c r="E61" s="1721" t="s">
        <v>1646</v>
      </c>
      <c r="F61" s="1721" t="s">
        <v>1646</v>
      </c>
      <c r="G61" s="1721" t="s">
        <v>1646</v>
      </c>
      <c r="H61" s="1722">
        <v>4881740</v>
      </c>
      <c r="I61" s="1722">
        <v>0</v>
      </c>
      <c r="J61" s="1722">
        <v>0</v>
      </c>
      <c r="K61" s="1722">
        <v>4881740</v>
      </c>
      <c r="L61" s="1722">
        <v>4381740</v>
      </c>
      <c r="M61" s="1722">
        <v>0</v>
      </c>
      <c r="N61" s="1722">
        <v>0</v>
      </c>
      <c r="O61" s="1722">
        <v>4381740</v>
      </c>
    </row>
    <row r="62" spans="1:15" customFormat="1" ht="26.25" x14ac:dyDescent="0.25">
      <c r="A62" s="1721" t="s">
        <v>1646</v>
      </c>
      <c r="B62" s="1754" t="s">
        <v>1937</v>
      </c>
      <c r="C62" s="1721" t="s">
        <v>1592</v>
      </c>
      <c r="D62" s="1721" t="s">
        <v>1600</v>
      </c>
      <c r="E62" s="1721" t="s">
        <v>1617</v>
      </c>
      <c r="F62" s="1721" t="s">
        <v>1646</v>
      </c>
      <c r="G62" s="1721" t="s">
        <v>1646</v>
      </c>
      <c r="H62" s="1722">
        <v>4881740</v>
      </c>
      <c r="I62" s="1722">
        <v>0</v>
      </c>
      <c r="J62" s="1722">
        <v>0</v>
      </c>
      <c r="K62" s="1722">
        <v>4881740</v>
      </c>
      <c r="L62" s="1722">
        <v>4381740</v>
      </c>
      <c r="M62" s="1722">
        <v>0</v>
      </c>
      <c r="N62" s="1722">
        <v>0</v>
      </c>
      <c r="O62" s="1722">
        <v>4381740</v>
      </c>
    </row>
    <row r="63" spans="1:15" customFormat="1" x14ac:dyDescent="0.25">
      <c r="A63" s="1721" t="s">
        <v>1646</v>
      </c>
      <c r="B63" s="1754" t="s">
        <v>1646</v>
      </c>
      <c r="C63" s="1721" t="s">
        <v>1646</v>
      </c>
      <c r="D63" s="1721" t="s">
        <v>1646</v>
      </c>
      <c r="E63" s="1721" t="s">
        <v>1646</v>
      </c>
      <c r="F63" s="1721" t="s">
        <v>1609</v>
      </c>
      <c r="G63" s="1721" t="s">
        <v>1646</v>
      </c>
      <c r="H63" s="1722" t="s">
        <v>1646</v>
      </c>
      <c r="I63" s="1722" t="s">
        <v>1646</v>
      </c>
      <c r="J63" s="1722" t="s">
        <v>1646</v>
      </c>
      <c r="K63" s="1722" t="s">
        <v>1646</v>
      </c>
      <c r="L63" s="1722">
        <v>1600000</v>
      </c>
      <c r="M63" s="1722">
        <v>0</v>
      </c>
      <c r="N63" s="1722">
        <v>0</v>
      </c>
      <c r="O63" s="1722">
        <v>1600000</v>
      </c>
    </row>
    <row r="64" spans="1:15" customFormat="1" x14ac:dyDescent="0.25">
      <c r="A64" s="1721" t="s">
        <v>1646</v>
      </c>
      <c r="B64" s="1754" t="s">
        <v>1646</v>
      </c>
      <c r="C64" s="1721" t="s">
        <v>1646</v>
      </c>
      <c r="D64" s="1721" t="s">
        <v>1646</v>
      </c>
      <c r="E64" s="1721" t="s">
        <v>1646</v>
      </c>
      <c r="F64" s="1721" t="s">
        <v>1609</v>
      </c>
      <c r="G64" s="1721" t="s">
        <v>1611</v>
      </c>
      <c r="H64" s="1722" t="s">
        <v>1646</v>
      </c>
      <c r="I64" s="1722" t="s">
        <v>1646</v>
      </c>
      <c r="J64" s="1722" t="s">
        <v>1646</v>
      </c>
      <c r="K64" s="1722" t="s">
        <v>1646</v>
      </c>
      <c r="L64" s="1722">
        <v>1600000</v>
      </c>
      <c r="M64" s="1722">
        <v>0</v>
      </c>
      <c r="N64" s="1722">
        <v>0</v>
      </c>
      <c r="O64" s="1722">
        <v>1600000</v>
      </c>
    </row>
    <row r="65" spans="1:18" x14ac:dyDescent="0.25">
      <c r="A65" s="1721" t="s">
        <v>1646</v>
      </c>
      <c r="B65" s="1754" t="s">
        <v>1646</v>
      </c>
      <c r="C65" s="1721" t="s">
        <v>1646</v>
      </c>
      <c r="D65" s="1721" t="s">
        <v>1646</v>
      </c>
      <c r="E65" s="1721" t="s">
        <v>1646</v>
      </c>
      <c r="F65" s="1721" t="s">
        <v>1615</v>
      </c>
      <c r="G65" s="1721" t="s">
        <v>1646</v>
      </c>
      <c r="H65" s="1722" t="s">
        <v>1646</v>
      </c>
      <c r="I65" s="1722" t="s">
        <v>1646</v>
      </c>
      <c r="J65" s="1722" t="s">
        <v>1646</v>
      </c>
      <c r="K65" s="1722" t="s">
        <v>1646</v>
      </c>
      <c r="L65" s="1722">
        <v>2781740</v>
      </c>
      <c r="M65" s="1722">
        <v>0</v>
      </c>
      <c r="N65" s="1722">
        <v>0</v>
      </c>
      <c r="O65" s="1722">
        <v>2781740</v>
      </c>
      <c r="Q65"/>
    </row>
    <row r="66" spans="1:18" x14ac:dyDescent="0.25">
      <c r="A66" s="1721" t="s">
        <v>1646</v>
      </c>
      <c r="B66" s="1754" t="s">
        <v>1646</v>
      </c>
      <c r="C66" s="1721" t="s">
        <v>1646</v>
      </c>
      <c r="D66" s="1721" t="s">
        <v>1646</v>
      </c>
      <c r="E66" s="1721" t="s">
        <v>1646</v>
      </c>
      <c r="F66" s="1721" t="s">
        <v>1615</v>
      </c>
      <c r="G66" s="1721" t="s">
        <v>1616</v>
      </c>
      <c r="H66" s="1722" t="s">
        <v>1646</v>
      </c>
      <c r="I66" s="1722" t="s">
        <v>1646</v>
      </c>
      <c r="J66" s="1722" t="s">
        <v>1646</v>
      </c>
      <c r="K66" s="1722" t="s">
        <v>1646</v>
      </c>
      <c r="L66" s="1722">
        <v>2781740</v>
      </c>
      <c r="M66" s="1722">
        <v>0</v>
      </c>
      <c r="N66" s="1722">
        <v>0</v>
      </c>
      <c r="O66" s="1722">
        <v>2781740</v>
      </c>
      <c r="Q66"/>
    </row>
    <row r="67" spans="1:18" ht="26.25" x14ac:dyDescent="0.25">
      <c r="A67" s="1721" t="s">
        <v>1646</v>
      </c>
      <c r="B67" s="1754" t="s">
        <v>1942</v>
      </c>
      <c r="C67" s="1721" t="s">
        <v>1646</v>
      </c>
      <c r="D67" s="1721" t="s">
        <v>1646</v>
      </c>
      <c r="E67" s="1721" t="s">
        <v>1646</v>
      </c>
      <c r="F67" s="1721" t="s">
        <v>1646</v>
      </c>
      <c r="G67" s="1721" t="s">
        <v>1646</v>
      </c>
      <c r="H67" s="1722">
        <v>4650200</v>
      </c>
      <c r="I67" s="1722">
        <v>0</v>
      </c>
      <c r="J67" s="1722">
        <v>0</v>
      </c>
      <c r="K67" s="1722">
        <v>4650200</v>
      </c>
      <c r="L67" s="1722">
        <v>3651520</v>
      </c>
      <c r="M67" s="1722">
        <v>0</v>
      </c>
      <c r="N67" s="1722">
        <v>0</v>
      </c>
      <c r="O67" s="1722">
        <v>3651520</v>
      </c>
      <c r="Q67"/>
    </row>
    <row r="68" spans="1:18" x14ac:dyDescent="0.25">
      <c r="A68" s="1721" t="s">
        <v>1646</v>
      </c>
      <c r="B68" s="1754" t="s">
        <v>1935</v>
      </c>
      <c r="C68" s="1721" t="s">
        <v>1592</v>
      </c>
      <c r="D68" s="1721" t="s">
        <v>1620</v>
      </c>
      <c r="E68" s="1721" t="s">
        <v>1621</v>
      </c>
      <c r="F68" s="1721" t="s">
        <v>1646</v>
      </c>
      <c r="G68" s="1721" t="s">
        <v>1646</v>
      </c>
      <c r="H68" s="1722">
        <v>1600000</v>
      </c>
      <c r="I68" s="1722">
        <v>0</v>
      </c>
      <c r="J68" s="1722">
        <v>0</v>
      </c>
      <c r="K68" s="1722">
        <v>1600000</v>
      </c>
      <c r="L68" s="1722">
        <v>1600000</v>
      </c>
      <c r="M68" s="1722">
        <v>0</v>
      </c>
      <c r="N68" s="1722">
        <v>0</v>
      </c>
      <c r="O68" s="1722">
        <v>1600000</v>
      </c>
      <c r="Q68"/>
    </row>
    <row r="69" spans="1:18" x14ac:dyDescent="0.25">
      <c r="A69" s="1721" t="s">
        <v>1646</v>
      </c>
      <c r="B69" s="1754" t="s">
        <v>1646</v>
      </c>
      <c r="C69" s="1721" t="s">
        <v>1646</v>
      </c>
      <c r="D69" s="1721" t="s">
        <v>1646</v>
      </c>
      <c r="E69" s="1721" t="s">
        <v>1646</v>
      </c>
      <c r="F69" s="1721" t="s">
        <v>1652</v>
      </c>
      <c r="G69" s="1721" t="s">
        <v>1646</v>
      </c>
      <c r="H69" s="1722" t="s">
        <v>1646</v>
      </c>
      <c r="I69" s="1722" t="s">
        <v>1646</v>
      </c>
      <c r="J69" s="1722" t="s">
        <v>1646</v>
      </c>
      <c r="K69" s="1722" t="s">
        <v>1646</v>
      </c>
      <c r="L69" s="1722">
        <v>1600000</v>
      </c>
      <c r="M69" s="1722">
        <v>0</v>
      </c>
      <c r="N69" s="1722">
        <v>0</v>
      </c>
      <c r="O69" s="1722">
        <v>1600000</v>
      </c>
      <c r="Q69"/>
    </row>
    <row r="70" spans="1:18" x14ac:dyDescent="0.25">
      <c r="A70" s="1721" t="s">
        <v>1646</v>
      </c>
      <c r="B70" s="1754" t="s">
        <v>1646</v>
      </c>
      <c r="C70" s="1721" t="s">
        <v>1646</v>
      </c>
      <c r="D70" s="1721" t="s">
        <v>1646</v>
      </c>
      <c r="E70" s="1721" t="s">
        <v>1646</v>
      </c>
      <c r="F70" s="1721" t="s">
        <v>1652</v>
      </c>
      <c r="G70" s="1721" t="s">
        <v>1653</v>
      </c>
      <c r="H70" s="1722" t="s">
        <v>1646</v>
      </c>
      <c r="I70" s="1722" t="s">
        <v>1646</v>
      </c>
      <c r="J70" s="1722" t="s">
        <v>1646</v>
      </c>
      <c r="K70" s="1722" t="s">
        <v>1646</v>
      </c>
      <c r="L70" s="1722">
        <v>1600000</v>
      </c>
      <c r="M70" s="1722">
        <v>0</v>
      </c>
      <c r="N70" s="1722">
        <v>0</v>
      </c>
      <c r="O70" s="1722">
        <v>1600000</v>
      </c>
      <c r="Q70"/>
    </row>
    <row r="71" spans="1:18" ht="26.25" x14ac:dyDescent="0.25">
      <c r="A71" s="1721" t="s">
        <v>1646</v>
      </c>
      <c r="B71" s="1754" t="s">
        <v>1937</v>
      </c>
      <c r="C71" s="1721" t="s">
        <v>1592</v>
      </c>
      <c r="D71" s="1721" t="s">
        <v>1620</v>
      </c>
      <c r="E71" s="1721" t="s">
        <v>1621</v>
      </c>
      <c r="F71" s="1721" t="s">
        <v>1646</v>
      </c>
      <c r="G71" s="1721" t="s">
        <v>1646</v>
      </c>
      <c r="H71" s="1722">
        <v>3050200</v>
      </c>
      <c r="I71" s="1722">
        <v>0</v>
      </c>
      <c r="J71" s="1722">
        <v>0</v>
      </c>
      <c r="K71" s="1722">
        <v>3050200</v>
      </c>
      <c r="L71" s="1722">
        <v>2051520</v>
      </c>
      <c r="M71" s="1722">
        <v>0</v>
      </c>
      <c r="N71" s="1722">
        <v>0</v>
      </c>
      <c r="O71" s="1722">
        <v>2051520</v>
      </c>
      <c r="Q71"/>
    </row>
    <row r="72" spans="1:18" x14ac:dyDescent="0.25">
      <c r="A72" s="1721" t="s">
        <v>1646</v>
      </c>
      <c r="B72" s="1754" t="s">
        <v>1646</v>
      </c>
      <c r="C72" s="1721" t="s">
        <v>1646</v>
      </c>
      <c r="D72" s="1721" t="s">
        <v>1646</v>
      </c>
      <c r="E72" s="1721" t="s">
        <v>1646</v>
      </c>
      <c r="F72" s="1721" t="s">
        <v>1609</v>
      </c>
      <c r="G72" s="1721" t="s">
        <v>1646</v>
      </c>
      <c r="H72" s="1722" t="s">
        <v>1646</v>
      </c>
      <c r="I72" s="1722" t="s">
        <v>1646</v>
      </c>
      <c r="J72" s="1722" t="s">
        <v>1646</v>
      </c>
      <c r="K72" s="1722" t="s">
        <v>1646</v>
      </c>
      <c r="L72" s="1722">
        <v>2051520</v>
      </c>
      <c r="M72" s="1722">
        <v>0</v>
      </c>
      <c r="N72" s="1722">
        <v>0</v>
      </c>
      <c r="O72" s="1722">
        <v>2051520</v>
      </c>
      <c r="P72" t="s">
        <v>1980</v>
      </c>
      <c r="Q72" t="s">
        <v>1048</v>
      </c>
    </row>
    <row r="73" spans="1:18" x14ac:dyDescent="0.25">
      <c r="A73" s="1721" t="s">
        <v>1646</v>
      </c>
      <c r="B73" s="1754" t="s">
        <v>1646</v>
      </c>
      <c r="C73" s="1721" t="s">
        <v>1646</v>
      </c>
      <c r="D73" s="1721" t="s">
        <v>1646</v>
      </c>
      <c r="E73" s="1721" t="s">
        <v>1646</v>
      </c>
      <c r="F73" s="1721" t="s">
        <v>1609</v>
      </c>
      <c r="G73" s="1721" t="s">
        <v>1612</v>
      </c>
      <c r="H73" s="1722" t="s">
        <v>1646</v>
      </c>
      <c r="I73" s="1722" t="s">
        <v>1646</v>
      </c>
      <c r="J73" s="1722" t="s">
        <v>1646</v>
      </c>
      <c r="K73" s="1722" t="s">
        <v>1646</v>
      </c>
      <c r="L73" s="1722">
        <v>2051520</v>
      </c>
      <c r="M73" s="1722">
        <v>0</v>
      </c>
      <c r="N73" s="1722">
        <v>0</v>
      </c>
      <c r="O73" s="1722">
        <v>2051520</v>
      </c>
      <c r="P73" s="2004">
        <v>1650200</v>
      </c>
      <c r="Q73" s="1749">
        <f>O73-P73</f>
        <v>401320</v>
      </c>
      <c r="R73" t="s">
        <v>1915</v>
      </c>
    </row>
    <row r="74" spans="1:18" ht="39" x14ac:dyDescent="0.25">
      <c r="A74" s="1721" t="s">
        <v>1646</v>
      </c>
      <c r="B74" s="1754" t="s">
        <v>1943</v>
      </c>
      <c r="C74" s="1721" t="s">
        <v>1646</v>
      </c>
      <c r="D74" s="1721" t="s">
        <v>1646</v>
      </c>
      <c r="E74" s="1721" t="s">
        <v>1646</v>
      </c>
      <c r="F74" s="1721" t="s">
        <v>1646</v>
      </c>
      <c r="G74" s="1721" t="s">
        <v>1646</v>
      </c>
      <c r="H74" s="1722">
        <v>7000000</v>
      </c>
      <c r="I74" s="1722">
        <v>0</v>
      </c>
      <c r="J74" s="1722">
        <v>0</v>
      </c>
      <c r="K74" s="1722">
        <v>7000000</v>
      </c>
      <c r="L74" s="1722">
        <v>5000000</v>
      </c>
      <c r="M74" s="1722">
        <v>0</v>
      </c>
      <c r="N74" s="1722">
        <v>0</v>
      </c>
      <c r="O74" s="1722">
        <v>5000000</v>
      </c>
      <c r="Q74"/>
    </row>
    <row r="75" spans="1:18" x14ac:dyDescent="0.25">
      <c r="A75" s="1721" t="s">
        <v>1646</v>
      </c>
      <c r="B75" s="1754" t="s">
        <v>1935</v>
      </c>
      <c r="C75" s="1721" t="s">
        <v>1592</v>
      </c>
      <c r="D75" s="1721" t="s">
        <v>1642</v>
      </c>
      <c r="E75" s="1721" t="s">
        <v>1650</v>
      </c>
      <c r="F75" s="1721" t="s">
        <v>1646</v>
      </c>
      <c r="G75" s="1721" t="s">
        <v>1646</v>
      </c>
      <c r="H75" s="1722">
        <v>7000000</v>
      </c>
      <c r="I75" s="1722">
        <v>0</v>
      </c>
      <c r="J75" s="1722">
        <v>0</v>
      </c>
      <c r="K75" s="1722">
        <v>7000000</v>
      </c>
      <c r="L75" s="1722">
        <v>5000000</v>
      </c>
      <c r="M75" s="1722">
        <v>0</v>
      </c>
      <c r="N75" s="1722">
        <v>0</v>
      </c>
      <c r="O75" s="1722">
        <v>5000000</v>
      </c>
      <c r="Q75"/>
    </row>
    <row r="76" spans="1:18" x14ac:dyDescent="0.25">
      <c r="A76" s="1721" t="s">
        <v>1646</v>
      </c>
      <c r="B76" s="1754" t="s">
        <v>1646</v>
      </c>
      <c r="C76" s="1721" t="s">
        <v>1646</v>
      </c>
      <c r="D76" s="1721" t="s">
        <v>1646</v>
      </c>
      <c r="E76" s="1721" t="s">
        <v>1646</v>
      </c>
      <c r="F76" s="1721" t="s">
        <v>1654</v>
      </c>
      <c r="G76" s="1721" t="s">
        <v>1646</v>
      </c>
      <c r="H76" s="1722" t="s">
        <v>1646</v>
      </c>
      <c r="I76" s="1722" t="s">
        <v>1646</v>
      </c>
      <c r="J76" s="1722" t="s">
        <v>1646</v>
      </c>
      <c r="K76" s="1722" t="s">
        <v>1646</v>
      </c>
      <c r="L76" s="1722">
        <v>5000000</v>
      </c>
      <c r="M76" s="1722">
        <v>0</v>
      </c>
      <c r="N76" s="1722">
        <v>0</v>
      </c>
      <c r="O76" s="1722">
        <v>5000000</v>
      </c>
      <c r="Q76"/>
    </row>
    <row r="77" spans="1:18" x14ac:dyDescent="0.25">
      <c r="A77" s="1721" t="s">
        <v>1646</v>
      </c>
      <c r="B77" s="1754" t="s">
        <v>1646</v>
      </c>
      <c r="C77" s="1721" t="s">
        <v>1646</v>
      </c>
      <c r="D77" s="1721" t="s">
        <v>1646</v>
      </c>
      <c r="E77" s="1721" t="s">
        <v>1646</v>
      </c>
      <c r="F77" s="1721" t="s">
        <v>1654</v>
      </c>
      <c r="G77" s="1721" t="s">
        <v>1663</v>
      </c>
      <c r="H77" s="1722" t="s">
        <v>1646</v>
      </c>
      <c r="I77" s="1722" t="s">
        <v>1646</v>
      </c>
      <c r="J77" s="1722" t="s">
        <v>1646</v>
      </c>
      <c r="K77" s="1722" t="s">
        <v>1646</v>
      </c>
      <c r="L77" s="1722">
        <v>5000000</v>
      </c>
      <c r="M77" s="1722">
        <v>0</v>
      </c>
      <c r="N77" s="1722">
        <v>0</v>
      </c>
      <c r="O77" s="1722">
        <v>5000000</v>
      </c>
      <c r="Q77"/>
    </row>
    <row r="78" spans="1:18" ht="39" x14ac:dyDescent="0.25">
      <c r="A78" s="1724" t="s">
        <v>1449</v>
      </c>
      <c r="B78" s="1753" t="s">
        <v>1944</v>
      </c>
      <c r="C78" s="1721" t="s">
        <v>1646</v>
      </c>
      <c r="D78" s="1721" t="s">
        <v>1646</v>
      </c>
      <c r="E78" s="1721" t="s">
        <v>1646</v>
      </c>
      <c r="F78" s="1721" t="s">
        <v>1646</v>
      </c>
      <c r="G78" s="1721" t="s">
        <v>1646</v>
      </c>
      <c r="H78" s="1723">
        <v>1243018130</v>
      </c>
      <c r="I78" s="1723">
        <v>420563459</v>
      </c>
      <c r="J78" s="1723">
        <v>343685271</v>
      </c>
      <c r="K78" s="1723">
        <v>478769400</v>
      </c>
      <c r="L78" s="1723">
        <v>471954374</v>
      </c>
      <c r="M78" s="1723">
        <v>0</v>
      </c>
      <c r="N78" s="1723">
        <v>0</v>
      </c>
      <c r="O78" s="1723">
        <v>471954374</v>
      </c>
      <c r="P78" s="1766">
        <f>O79+O132</f>
        <v>286784974</v>
      </c>
      <c r="Q78"/>
    </row>
    <row r="79" spans="1:18" s="1765" customFormat="1" ht="63.75" customHeight="1" x14ac:dyDescent="0.25">
      <c r="A79" s="1762" t="s">
        <v>1646</v>
      </c>
      <c r="B79" s="1763" t="s">
        <v>1945</v>
      </c>
      <c r="C79" s="1762" t="s">
        <v>1646</v>
      </c>
      <c r="D79" s="1762" t="s">
        <v>1646</v>
      </c>
      <c r="E79" s="1762" t="s">
        <v>1646</v>
      </c>
      <c r="F79" s="1762" t="s">
        <v>1646</v>
      </c>
      <c r="G79" s="1762" t="s">
        <v>1646</v>
      </c>
      <c r="H79" s="1764">
        <v>787648730</v>
      </c>
      <c r="I79" s="1764">
        <v>404563459</v>
      </c>
      <c r="J79" s="1764">
        <v>325685271</v>
      </c>
      <c r="K79" s="1764">
        <v>57400000</v>
      </c>
      <c r="L79" s="1764">
        <v>282717814</v>
      </c>
      <c r="M79" s="1764">
        <v>0</v>
      </c>
      <c r="N79" s="1764">
        <v>0</v>
      </c>
      <c r="O79" s="1764">
        <v>282717814</v>
      </c>
    </row>
    <row r="80" spans="1:18" s="1765" customFormat="1" ht="39" x14ac:dyDescent="0.25">
      <c r="A80" s="1762" t="s">
        <v>1646</v>
      </c>
      <c r="B80" s="1763" t="s">
        <v>1946</v>
      </c>
      <c r="C80" s="1762" t="s">
        <v>1592</v>
      </c>
      <c r="D80" s="1762" t="s">
        <v>1600</v>
      </c>
      <c r="E80" s="1762" t="s">
        <v>1603</v>
      </c>
      <c r="F80" s="1762" t="s">
        <v>1646</v>
      </c>
      <c r="G80" s="1762" t="s">
        <v>1646</v>
      </c>
      <c r="H80" s="1764">
        <v>90769330</v>
      </c>
      <c r="I80" s="1764">
        <v>34484665</v>
      </c>
      <c r="J80" s="1764">
        <v>45384665</v>
      </c>
      <c r="K80" s="1764">
        <v>10900000</v>
      </c>
      <c r="L80" s="1764">
        <v>41126951</v>
      </c>
      <c r="M80" s="1764">
        <v>0</v>
      </c>
      <c r="N80" s="1764">
        <v>0</v>
      </c>
      <c r="O80" s="1764">
        <v>41126951</v>
      </c>
    </row>
    <row r="81" spans="1:15" s="1765" customFormat="1" x14ac:dyDescent="0.25">
      <c r="A81" s="1762" t="s">
        <v>1646</v>
      </c>
      <c r="B81" s="1763" t="s">
        <v>1646</v>
      </c>
      <c r="C81" s="1762" t="s">
        <v>1646</v>
      </c>
      <c r="D81" s="1762" t="s">
        <v>1646</v>
      </c>
      <c r="E81" s="1762" t="s">
        <v>1646</v>
      </c>
      <c r="F81" s="1762" t="s">
        <v>1595</v>
      </c>
      <c r="G81" s="1762" t="s">
        <v>1646</v>
      </c>
      <c r="H81" s="1764" t="s">
        <v>1646</v>
      </c>
      <c r="I81" s="1764" t="s">
        <v>1646</v>
      </c>
      <c r="J81" s="1764" t="s">
        <v>1646</v>
      </c>
      <c r="K81" s="1764" t="s">
        <v>1646</v>
      </c>
      <c r="L81" s="1764">
        <v>37465950</v>
      </c>
      <c r="M81" s="1764">
        <v>0</v>
      </c>
      <c r="N81" s="1764">
        <v>0</v>
      </c>
      <c r="O81" s="1764">
        <v>37465950</v>
      </c>
    </row>
    <row r="82" spans="1:15" s="1765" customFormat="1" x14ac:dyDescent="0.25">
      <c r="A82" s="1762" t="s">
        <v>1646</v>
      </c>
      <c r="B82" s="1763" t="s">
        <v>1646</v>
      </c>
      <c r="C82" s="1762" t="s">
        <v>1646</v>
      </c>
      <c r="D82" s="1762" t="s">
        <v>1646</v>
      </c>
      <c r="E82" s="1762" t="s">
        <v>1646</v>
      </c>
      <c r="F82" s="1762" t="s">
        <v>1595</v>
      </c>
      <c r="G82" s="1762" t="s">
        <v>1596</v>
      </c>
      <c r="H82" s="1764" t="s">
        <v>1646</v>
      </c>
      <c r="I82" s="1764" t="s">
        <v>1646</v>
      </c>
      <c r="J82" s="1764" t="s">
        <v>1646</v>
      </c>
      <c r="K82" s="1764" t="s">
        <v>1646</v>
      </c>
      <c r="L82" s="1764">
        <v>37465950</v>
      </c>
      <c r="M82" s="1764">
        <v>0</v>
      </c>
      <c r="N82" s="1764">
        <v>0</v>
      </c>
      <c r="O82" s="1764">
        <v>37465950</v>
      </c>
    </row>
    <row r="83" spans="1:15" s="1765" customFormat="1" x14ac:dyDescent="0.25">
      <c r="A83" s="1762" t="s">
        <v>1646</v>
      </c>
      <c r="B83" s="1763" t="s">
        <v>1646</v>
      </c>
      <c r="C83" s="1762" t="s">
        <v>1646</v>
      </c>
      <c r="D83" s="1762" t="s">
        <v>1646</v>
      </c>
      <c r="E83" s="1762" t="s">
        <v>1646</v>
      </c>
      <c r="F83" s="1762" t="s">
        <v>1597</v>
      </c>
      <c r="G83" s="1762" t="s">
        <v>1646</v>
      </c>
      <c r="H83" s="1764" t="s">
        <v>1646</v>
      </c>
      <c r="I83" s="1764" t="s">
        <v>1646</v>
      </c>
      <c r="J83" s="1764" t="s">
        <v>1646</v>
      </c>
      <c r="K83" s="1764" t="s">
        <v>1646</v>
      </c>
      <c r="L83" s="1764">
        <v>3661001</v>
      </c>
      <c r="M83" s="1764">
        <v>0</v>
      </c>
      <c r="N83" s="1764">
        <v>0</v>
      </c>
      <c r="O83" s="1764">
        <v>3661001</v>
      </c>
    </row>
    <row r="84" spans="1:15" s="1765" customFormat="1" x14ac:dyDescent="0.25">
      <c r="A84" s="1762" t="s">
        <v>1646</v>
      </c>
      <c r="B84" s="1763" t="s">
        <v>1646</v>
      </c>
      <c r="C84" s="1762" t="s">
        <v>1646</v>
      </c>
      <c r="D84" s="1762" t="s">
        <v>1646</v>
      </c>
      <c r="E84" s="1762" t="s">
        <v>1646</v>
      </c>
      <c r="F84" s="1762" t="s">
        <v>1597</v>
      </c>
      <c r="G84" s="1762" t="s">
        <v>1598</v>
      </c>
      <c r="H84" s="1764" t="s">
        <v>1646</v>
      </c>
      <c r="I84" s="1764" t="s">
        <v>1646</v>
      </c>
      <c r="J84" s="1764" t="s">
        <v>1646</v>
      </c>
      <c r="K84" s="1764" t="s">
        <v>1646</v>
      </c>
      <c r="L84" s="1764">
        <v>3661001</v>
      </c>
      <c r="M84" s="1764">
        <v>0</v>
      </c>
      <c r="N84" s="1764">
        <v>0</v>
      </c>
      <c r="O84" s="1764">
        <v>3661001</v>
      </c>
    </row>
    <row r="85" spans="1:15" s="1765" customFormat="1" ht="39" x14ac:dyDescent="0.25">
      <c r="A85" s="1762" t="s">
        <v>1646</v>
      </c>
      <c r="B85" s="1763" t="s">
        <v>1947</v>
      </c>
      <c r="C85" s="1762" t="s">
        <v>1592</v>
      </c>
      <c r="D85" s="1762" t="s">
        <v>1600</v>
      </c>
      <c r="E85" s="1762" t="s">
        <v>1603</v>
      </c>
      <c r="F85" s="1762" t="s">
        <v>1646</v>
      </c>
      <c r="G85" s="1762" t="s">
        <v>1646</v>
      </c>
      <c r="H85" s="1764">
        <v>52479948</v>
      </c>
      <c r="I85" s="1764">
        <v>14539974</v>
      </c>
      <c r="J85" s="1764">
        <v>26239974</v>
      </c>
      <c r="K85" s="1764">
        <v>11700000</v>
      </c>
      <c r="L85" s="1764">
        <v>26239974</v>
      </c>
      <c r="M85" s="1764">
        <v>0</v>
      </c>
      <c r="N85" s="1764">
        <v>0</v>
      </c>
      <c r="O85" s="1764">
        <v>26239974</v>
      </c>
    </row>
    <row r="86" spans="1:15" s="1765" customFormat="1" x14ac:dyDescent="0.25">
      <c r="A86" s="1762" t="s">
        <v>1646</v>
      </c>
      <c r="B86" s="1763" t="s">
        <v>1646</v>
      </c>
      <c r="C86" s="1762" t="s">
        <v>1646</v>
      </c>
      <c r="D86" s="1762" t="s">
        <v>1646</v>
      </c>
      <c r="E86" s="1762" t="s">
        <v>1646</v>
      </c>
      <c r="F86" s="1762" t="s">
        <v>1595</v>
      </c>
      <c r="G86" s="1762" t="s">
        <v>1646</v>
      </c>
      <c r="H86" s="1764" t="s">
        <v>1646</v>
      </c>
      <c r="I86" s="1764" t="s">
        <v>1646</v>
      </c>
      <c r="J86" s="1764" t="s">
        <v>1646</v>
      </c>
      <c r="K86" s="1764" t="s">
        <v>1646</v>
      </c>
      <c r="L86" s="1764">
        <v>26239974</v>
      </c>
      <c r="M86" s="1764">
        <v>0</v>
      </c>
      <c r="N86" s="1764">
        <v>0</v>
      </c>
      <c r="O86" s="1764">
        <v>26239974</v>
      </c>
    </row>
    <row r="87" spans="1:15" s="1765" customFormat="1" x14ac:dyDescent="0.25">
      <c r="A87" s="1762" t="s">
        <v>1646</v>
      </c>
      <c r="B87" s="1763" t="s">
        <v>1646</v>
      </c>
      <c r="C87" s="1762" t="s">
        <v>1646</v>
      </c>
      <c r="D87" s="1762" t="s">
        <v>1646</v>
      </c>
      <c r="E87" s="1762" t="s">
        <v>1646</v>
      </c>
      <c r="F87" s="1762" t="s">
        <v>1595</v>
      </c>
      <c r="G87" s="1762" t="s">
        <v>1596</v>
      </c>
      <c r="H87" s="1764" t="s">
        <v>1646</v>
      </c>
      <c r="I87" s="1764" t="s">
        <v>1646</v>
      </c>
      <c r="J87" s="1764" t="s">
        <v>1646</v>
      </c>
      <c r="K87" s="1764" t="s">
        <v>1646</v>
      </c>
      <c r="L87" s="1764">
        <v>26239974</v>
      </c>
      <c r="M87" s="1764">
        <v>0</v>
      </c>
      <c r="N87" s="1764">
        <v>0</v>
      </c>
      <c r="O87" s="1764">
        <v>26239974</v>
      </c>
    </row>
    <row r="88" spans="1:15" s="1765" customFormat="1" ht="26.25" x14ac:dyDescent="0.25">
      <c r="A88" s="1762" t="s">
        <v>1646</v>
      </c>
      <c r="B88" s="1763" t="s">
        <v>1948</v>
      </c>
      <c r="C88" s="1762" t="s">
        <v>1592</v>
      </c>
      <c r="D88" s="1762" t="s">
        <v>1600</v>
      </c>
      <c r="E88" s="1762" t="s">
        <v>1603</v>
      </c>
      <c r="F88" s="1762" t="s">
        <v>1646</v>
      </c>
      <c r="G88" s="1762" t="s">
        <v>1646</v>
      </c>
      <c r="H88" s="1764">
        <v>90349492</v>
      </c>
      <c r="I88" s="1764">
        <v>36374746</v>
      </c>
      <c r="J88" s="1764">
        <v>45174746</v>
      </c>
      <c r="K88" s="1764">
        <v>8800000</v>
      </c>
      <c r="L88" s="1764">
        <v>40967411</v>
      </c>
      <c r="M88" s="1764">
        <v>0</v>
      </c>
      <c r="N88" s="1764">
        <v>0</v>
      </c>
      <c r="O88" s="1764">
        <v>40967411</v>
      </c>
    </row>
    <row r="89" spans="1:15" s="1765" customFormat="1" x14ac:dyDescent="0.25">
      <c r="A89" s="1762" t="s">
        <v>1646</v>
      </c>
      <c r="B89" s="1763" t="s">
        <v>1646</v>
      </c>
      <c r="C89" s="1762" t="s">
        <v>1646</v>
      </c>
      <c r="D89" s="1762" t="s">
        <v>1646</v>
      </c>
      <c r="E89" s="1762" t="s">
        <v>1646</v>
      </c>
      <c r="F89" s="1762" t="s">
        <v>1595</v>
      </c>
      <c r="G89" s="1762" t="s">
        <v>1646</v>
      </c>
      <c r="H89" s="1764" t="s">
        <v>1646</v>
      </c>
      <c r="I89" s="1764" t="s">
        <v>1646</v>
      </c>
      <c r="J89" s="1764" t="s">
        <v>1646</v>
      </c>
      <c r="K89" s="1764" t="s">
        <v>1646</v>
      </c>
      <c r="L89" s="1764">
        <v>37040683</v>
      </c>
      <c r="M89" s="1764">
        <v>0</v>
      </c>
      <c r="N89" s="1764">
        <v>0</v>
      </c>
      <c r="O89" s="1764">
        <v>37040683</v>
      </c>
    </row>
    <row r="90" spans="1:15" s="1765" customFormat="1" x14ac:dyDescent="0.25">
      <c r="A90" s="1762" t="s">
        <v>1646</v>
      </c>
      <c r="B90" s="1763" t="s">
        <v>1646</v>
      </c>
      <c r="C90" s="1762" t="s">
        <v>1646</v>
      </c>
      <c r="D90" s="1762" t="s">
        <v>1646</v>
      </c>
      <c r="E90" s="1762" t="s">
        <v>1646</v>
      </c>
      <c r="F90" s="1762" t="s">
        <v>1595</v>
      </c>
      <c r="G90" s="1762" t="s">
        <v>1596</v>
      </c>
      <c r="H90" s="1764" t="s">
        <v>1646</v>
      </c>
      <c r="I90" s="1764" t="s">
        <v>1646</v>
      </c>
      <c r="J90" s="1764" t="s">
        <v>1646</v>
      </c>
      <c r="K90" s="1764" t="s">
        <v>1646</v>
      </c>
      <c r="L90" s="1764">
        <v>37040683</v>
      </c>
      <c r="M90" s="1764">
        <v>0</v>
      </c>
      <c r="N90" s="1764">
        <v>0</v>
      </c>
      <c r="O90" s="1764">
        <v>37040683</v>
      </c>
    </row>
    <row r="91" spans="1:15" s="1765" customFormat="1" x14ac:dyDescent="0.25">
      <c r="A91" s="1762" t="s">
        <v>1646</v>
      </c>
      <c r="B91" s="1763" t="s">
        <v>1646</v>
      </c>
      <c r="C91" s="1762" t="s">
        <v>1646</v>
      </c>
      <c r="D91" s="1762" t="s">
        <v>1646</v>
      </c>
      <c r="E91" s="1762" t="s">
        <v>1646</v>
      </c>
      <c r="F91" s="1762" t="s">
        <v>1597</v>
      </c>
      <c r="G91" s="1762" t="s">
        <v>1646</v>
      </c>
      <c r="H91" s="1764" t="s">
        <v>1646</v>
      </c>
      <c r="I91" s="1764" t="s">
        <v>1646</v>
      </c>
      <c r="J91" s="1764" t="s">
        <v>1646</v>
      </c>
      <c r="K91" s="1764" t="s">
        <v>1646</v>
      </c>
      <c r="L91" s="1764">
        <v>3926728</v>
      </c>
      <c r="M91" s="1764">
        <v>0</v>
      </c>
      <c r="N91" s="1764">
        <v>0</v>
      </c>
      <c r="O91" s="1764">
        <v>3926728</v>
      </c>
    </row>
    <row r="92" spans="1:15" s="1765" customFormat="1" x14ac:dyDescent="0.25">
      <c r="A92" s="1762" t="s">
        <v>1646</v>
      </c>
      <c r="B92" s="1763" t="s">
        <v>1646</v>
      </c>
      <c r="C92" s="1762" t="s">
        <v>1646</v>
      </c>
      <c r="D92" s="1762" t="s">
        <v>1646</v>
      </c>
      <c r="E92" s="1762" t="s">
        <v>1646</v>
      </c>
      <c r="F92" s="1762" t="s">
        <v>1597</v>
      </c>
      <c r="G92" s="1762" t="s">
        <v>1598</v>
      </c>
      <c r="H92" s="1764" t="s">
        <v>1646</v>
      </c>
      <c r="I92" s="1764" t="s">
        <v>1646</v>
      </c>
      <c r="J92" s="1764" t="s">
        <v>1646</v>
      </c>
      <c r="K92" s="1764" t="s">
        <v>1646</v>
      </c>
      <c r="L92" s="1764">
        <v>3926728</v>
      </c>
      <c r="M92" s="1764">
        <v>0</v>
      </c>
      <c r="N92" s="1764">
        <v>0</v>
      </c>
      <c r="O92" s="1764">
        <v>3926728</v>
      </c>
    </row>
    <row r="93" spans="1:15" s="1765" customFormat="1" ht="39" x14ac:dyDescent="0.25">
      <c r="A93" s="1762" t="s">
        <v>1646</v>
      </c>
      <c r="B93" s="1763" t="s">
        <v>1949</v>
      </c>
      <c r="C93" s="1762" t="s">
        <v>1592</v>
      </c>
      <c r="D93" s="1762" t="s">
        <v>1600</v>
      </c>
      <c r="E93" s="1762" t="s">
        <v>1603</v>
      </c>
      <c r="F93" s="1762" t="s">
        <v>1646</v>
      </c>
      <c r="G93" s="1762" t="s">
        <v>1646</v>
      </c>
      <c r="H93" s="1764">
        <v>177241262</v>
      </c>
      <c r="I93" s="1764">
        <v>76820631</v>
      </c>
      <c r="J93" s="1764">
        <v>88620631</v>
      </c>
      <c r="K93" s="1764">
        <v>11800000</v>
      </c>
      <c r="L93" s="1764">
        <v>81774620</v>
      </c>
      <c r="M93" s="1764">
        <v>0</v>
      </c>
      <c r="N93" s="1764">
        <v>0</v>
      </c>
      <c r="O93" s="1764">
        <v>81774620</v>
      </c>
    </row>
    <row r="94" spans="1:15" s="1765" customFormat="1" x14ac:dyDescent="0.25">
      <c r="A94" s="1762" t="s">
        <v>1646</v>
      </c>
      <c r="B94" s="1763" t="s">
        <v>1646</v>
      </c>
      <c r="C94" s="1762" t="s">
        <v>1646</v>
      </c>
      <c r="D94" s="1762" t="s">
        <v>1646</v>
      </c>
      <c r="E94" s="1762" t="s">
        <v>1646</v>
      </c>
      <c r="F94" s="1762" t="s">
        <v>1595</v>
      </c>
      <c r="G94" s="1762" t="s">
        <v>1646</v>
      </c>
      <c r="H94" s="1764" t="s">
        <v>1646</v>
      </c>
      <c r="I94" s="1764" t="s">
        <v>1646</v>
      </c>
      <c r="J94" s="1764" t="s">
        <v>1646</v>
      </c>
      <c r="K94" s="1764" t="s">
        <v>1646</v>
      </c>
      <c r="L94" s="1764">
        <v>74044842</v>
      </c>
      <c r="M94" s="1764">
        <v>0</v>
      </c>
      <c r="N94" s="1764">
        <v>0</v>
      </c>
      <c r="O94" s="1764">
        <v>74044842</v>
      </c>
    </row>
    <row r="95" spans="1:15" s="1765" customFormat="1" x14ac:dyDescent="0.25">
      <c r="A95" s="1762" t="s">
        <v>1646</v>
      </c>
      <c r="B95" s="1763" t="s">
        <v>1646</v>
      </c>
      <c r="C95" s="1762" t="s">
        <v>1646</v>
      </c>
      <c r="D95" s="1762" t="s">
        <v>1646</v>
      </c>
      <c r="E95" s="1762" t="s">
        <v>1646</v>
      </c>
      <c r="F95" s="1762" t="s">
        <v>1595</v>
      </c>
      <c r="G95" s="1762" t="s">
        <v>1596</v>
      </c>
      <c r="H95" s="1764" t="s">
        <v>1646</v>
      </c>
      <c r="I95" s="1764" t="s">
        <v>1646</v>
      </c>
      <c r="J95" s="1764" t="s">
        <v>1646</v>
      </c>
      <c r="K95" s="1764" t="s">
        <v>1646</v>
      </c>
      <c r="L95" s="1764">
        <v>74044842</v>
      </c>
      <c r="M95" s="1764">
        <v>0</v>
      </c>
      <c r="N95" s="1764">
        <v>0</v>
      </c>
      <c r="O95" s="1764">
        <v>74044842</v>
      </c>
    </row>
    <row r="96" spans="1:15" s="1765" customFormat="1" x14ac:dyDescent="0.25">
      <c r="A96" s="1762" t="s">
        <v>1646</v>
      </c>
      <c r="B96" s="1763" t="s">
        <v>1646</v>
      </c>
      <c r="C96" s="1762" t="s">
        <v>1646</v>
      </c>
      <c r="D96" s="1762" t="s">
        <v>1646</v>
      </c>
      <c r="E96" s="1762" t="s">
        <v>1646</v>
      </c>
      <c r="F96" s="1762" t="s">
        <v>1597</v>
      </c>
      <c r="G96" s="1762" t="s">
        <v>1646</v>
      </c>
      <c r="H96" s="1764" t="s">
        <v>1646</v>
      </c>
      <c r="I96" s="1764" t="s">
        <v>1646</v>
      </c>
      <c r="J96" s="1764" t="s">
        <v>1646</v>
      </c>
      <c r="K96" s="1764" t="s">
        <v>1646</v>
      </c>
      <c r="L96" s="1764">
        <v>7729778</v>
      </c>
      <c r="M96" s="1764">
        <v>0</v>
      </c>
      <c r="N96" s="1764">
        <v>0</v>
      </c>
      <c r="O96" s="1764">
        <v>7729778</v>
      </c>
    </row>
    <row r="97" spans="1:16" s="1765" customFormat="1" x14ac:dyDescent="0.25">
      <c r="A97" s="1762" t="s">
        <v>1646</v>
      </c>
      <c r="B97" s="1763" t="s">
        <v>1646</v>
      </c>
      <c r="C97" s="1762" t="s">
        <v>1646</v>
      </c>
      <c r="D97" s="1762" t="s">
        <v>1646</v>
      </c>
      <c r="E97" s="1762" t="s">
        <v>1646</v>
      </c>
      <c r="F97" s="1762" t="s">
        <v>1597</v>
      </c>
      <c r="G97" s="1762" t="s">
        <v>1598</v>
      </c>
      <c r="H97" s="1764" t="s">
        <v>1646</v>
      </c>
      <c r="I97" s="1764" t="s">
        <v>1646</v>
      </c>
      <c r="J97" s="1764" t="s">
        <v>1646</v>
      </c>
      <c r="K97" s="1764" t="s">
        <v>1646</v>
      </c>
      <c r="L97" s="1764">
        <v>7729778</v>
      </c>
      <c r="M97" s="1764">
        <v>0</v>
      </c>
      <c r="N97" s="1764">
        <v>0</v>
      </c>
      <c r="O97" s="1764">
        <v>7729778</v>
      </c>
    </row>
    <row r="98" spans="1:16" s="1765" customFormat="1" ht="26.25" x14ac:dyDescent="0.25">
      <c r="A98" s="1762" t="s">
        <v>1646</v>
      </c>
      <c r="B98" s="1763" t="s">
        <v>1950</v>
      </c>
      <c r="C98" s="1762" t="s">
        <v>1592</v>
      </c>
      <c r="D98" s="1762" t="s">
        <v>1600</v>
      </c>
      <c r="E98" s="1762" t="s">
        <v>1603</v>
      </c>
      <c r="F98" s="1762" t="s">
        <v>1646</v>
      </c>
      <c r="G98" s="1762" t="s">
        <v>1646</v>
      </c>
      <c r="H98" s="1764">
        <v>99829714</v>
      </c>
      <c r="I98" s="1764">
        <v>35714857</v>
      </c>
      <c r="J98" s="1764">
        <v>49914857</v>
      </c>
      <c r="K98" s="1764">
        <v>14200000</v>
      </c>
      <c r="L98" s="1764">
        <v>45600959</v>
      </c>
      <c r="M98" s="1764">
        <v>0</v>
      </c>
      <c r="N98" s="1764">
        <v>0</v>
      </c>
      <c r="O98" s="1764">
        <v>45600959</v>
      </c>
    </row>
    <row r="99" spans="1:16" s="1765" customFormat="1" x14ac:dyDescent="0.25">
      <c r="A99" s="1762" t="s">
        <v>1646</v>
      </c>
      <c r="B99" s="1763" t="s">
        <v>1646</v>
      </c>
      <c r="C99" s="1762" t="s">
        <v>1646</v>
      </c>
      <c r="D99" s="1762" t="s">
        <v>1646</v>
      </c>
      <c r="E99" s="1762" t="s">
        <v>1646</v>
      </c>
      <c r="F99" s="1762" t="s">
        <v>1595</v>
      </c>
      <c r="G99" s="1762" t="s">
        <v>1646</v>
      </c>
      <c r="H99" s="1764" t="s">
        <v>1646</v>
      </c>
      <c r="I99" s="1764" t="s">
        <v>1646</v>
      </c>
      <c r="J99" s="1764" t="s">
        <v>1646</v>
      </c>
      <c r="K99" s="1764" t="s">
        <v>1646</v>
      </c>
      <c r="L99" s="1764">
        <v>41321286</v>
      </c>
      <c r="M99" s="1764">
        <v>0</v>
      </c>
      <c r="N99" s="1764">
        <v>0</v>
      </c>
      <c r="O99" s="1764">
        <v>41321286</v>
      </c>
    </row>
    <row r="100" spans="1:16" s="1765" customFormat="1" x14ac:dyDescent="0.25">
      <c r="A100" s="1762" t="s">
        <v>1646</v>
      </c>
      <c r="B100" s="1763" t="s">
        <v>1646</v>
      </c>
      <c r="C100" s="1762" t="s">
        <v>1646</v>
      </c>
      <c r="D100" s="1762" t="s">
        <v>1646</v>
      </c>
      <c r="E100" s="1762" t="s">
        <v>1646</v>
      </c>
      <c r="F100" s="1762" t="s">
        <v>1595</v>
      </c>
      <c r="G100" s="1762" t="s">
        <v>1596</v>
      </c>
      <c r="H100" s="1764" t="s">
        <v>1646</v>
      </c>
      <c r="I100" s="1764" t="s">
        <v>1646</v>
      </c>
      <c r="J100" s="1764" t="s">
        <v>1646</v>
      </c>
      <c r="K100" s="1764" t="s">
        <v>1646</v>
      </c>
      <c r="L100" s="1764">
        <v>41321286</v>
      </c>
      <c r="M100" s="1764">
        <v>0</v>
      </c>
      <c r="N100" s="1764">
        <v>0</v>
      </c>
      <c r="O100" s="1764">
        <v>41321286</v>
      </c>
    </row>
    <row r="101" spans="1:16" s="1765" customFormat="1" x14ac:dyDescent="0.25">
      <c r="A101" s="1762" t="s">
        <v>1646</v>
      </c>
      <c r="B101" s="1763" t="s">
        <v>1646</v>
      </c>
      <c r="C101" s="1762" t="s">
        <v>1646</v>
      </c>
      <c r="D101" s="1762" t="s">
        <v>1646</v>
      </c>
      <c r="E101" s="1762" t="s">
        <v>1646</v>
      </c>
      <c r="F101" s="1762" t="s">
        <v>1597</v>
      </c>
      <c r="G101" s="1762" t="s">
        <v>1646</v>
      </c>
      <c r="H101" s="1764" t="s">
        <v>1646</v>
      </c>
      <c r="I101" s="1764" t="s">
        <v>1646</v>
      </c>
      <c r="J101" s="1764" t="s">
        <v>1646</v>
      </c>
      <c r="K101" s="1764" t="s">
        <v>1646</v>
      </c>
      <c r="L101" s="1764">
        <v>4279673</v>
      </c>
      <c r="M101" s="1764">
        <v>0</v>
      </c>
      <c r="N101" s="1764">
        <v>0</v>
      </c>
      <c r="O101" s="1764">
        <v>4279673</v>
      </c>
    </row>
    <row r="102" spans="1:16" s="1765" customFormat="1" x14ac:dyDescent="0.25">
      <c r="A102" s="1762" t="s">
        <v>1646</v>
      </c>
      <c r="B102" s="1763" t="s">
        <v>1646</v>
      </c>
      <c r="C102" s="1762" t="s">
        <v>1646</v>
      </c>
      <c r="D102" s="1762" t="s">
        <v>1646</v>
      </c>
      <c r="E102" s="1762" t="s">
        <v>1646</v>
      </c>
      <c r="F102" s="1762" t="s">
        <v>1597</v>
      </c>
      <c r="G102" s="1762" t="s">
        <v>1598</v>
      </c>
      <c r="H102" s="1764" t="s">
        <v>1646</v>
      </c>
      <c r="I102" s="1764" t="s">
        <v>1646</v>
      </c>
      <c r="J102" s="1764" t="s">
        <v>1646</v>
      </c>
      <c r="K102" s="1764" t="s">
        <v>1646</v>
      </c>
      <c r="L102" s="1764">
        <v>4279673</v>
      </c>
      <c r="M102" s="1764">
        <v>0</v>
      </c>
      <c r="N102" s="1764">
        <v>0</v>
      </c>
      <c r="O102" s="1764">
        <v>4279673</v>
      </c>
    </row>
    <row r="103" spans="1:16" s="1765" customFormat="1" ht="26.25" x14ac:dyDescent="0.25">
      <c r="A103" s="1762" t="s">
        <v>1646</v>
      </c>
      <c r="B103" s="1763" t="s">
        <v>1951</v>
      </c>
      <c r="C103" s="1762" t="s">
        <v>1592</v>
      </c>
      <c r="D103" s="1762" t="s">
        <v>1600</v>
      </c>
      <c r="E103" s="1762" t="s">
        <v>1603</v>
      </c>
      <c r="F103" s="1762" t="s">
        <v>1646</v>
      </c>
      <c r="G103" s="1762" t="s">
        <v>1646</v>
      </c>
      <c r="H103" s="1764">
        <v>276978984</v>
      </c>
      <c r="I103" s="1764">
        <v>206628586</v>
      </c>
      <c r="J103" s="1764">
        <v>70350398</v>
      </c>
      <c r="K103" s="1764">
        <v>0</v>
      </c>
      <c r="L103" s="1764">
        <v>47007899</v>
      </c>
      <c r="M103" s="1764">
        <v>0</v>
      </c>
      <c r="N103" s="1764">
        <v>0</v>
      </c>
      <c r="O103" s="1764">
        <v>47007899</v>
      </c>
    </row>
    <row r="104" spans="1:16" s="1765" customFormat="1" x14ac:dyDescent="0.25">
      <c r="A104" s="1762" t="s">
        <v>1646</v>
      </c>
      <c r="B104" s="1763" t="s">
        <v>1646</v>
      </c>
      <c r="C104" s="1762" t="s">
        <v>1646</v>
      </c>
      <c r="D104" s="1762" t="s">
        <v>1646</v>
      </c>
      <c r="E104" s="1762" t="s">
        <v>1646</v>
      </c>
      <c r="F104" s="1762" t="s">
        <v>1595</v>
      </c>
      <c r="G104" s="1762" t="s">
        <v>1646</v>
      </c>
      <c r="H104" s="1764" t="s">
        <v>1646</v>
      </c>
      <c r="I104" s="1764" t="s">
        <v>1646</v>
      </c>
      <c r="J104" s="1764" t="s">
        <v>1646</v>
      </c>
      <c r="K104" s="1764" t="s">
        <v>1646</v>
      </c>
      <c r="L104" s="1764">
        <v>38908840</v>
      </c>
      <c r="M104" s="1764">
        <v>0</v>
      </c>
      <c r="N104" s="1764">
        <v>0</v>
      </c>
      <c r="O104" s="1764">
        <v>38908840</v>
      </c>
    </row>
    <row r="105" spans="1:16" s="1765" customFormat="1" x14ac:dyDescent="0.25">
      <c r="A105" s="1762" t="s">
        <v>1646</v>
      </c>
      <c r="B105" s="1763" t="s">
        <v>1646</v>
      </c>
      <c r="C105" s="1762" t="s">
        <v>1646</v>
      </c>
      <c r="D105" s="1762" t="s">
        <v>1646</v>
      </c>
      <c r="E105" s="1762" t="s">
        <v>1646</v>
      </c>
      <c r="F105" s="1762" t="s">
        <v>1595</v>
      </c>
      <c r="G105" s="1762" t="s">
        <v>1596</v>
      </c>
      <c r="H105" s="1764" t="s">
        <v>1646</v>
      </c>
      <c r="I105" s="1764" t="s">
        <v>1646</v>
      </c>
      <c r="J105" s="1764" t="s">
        <v>1646</v>
      </c>
      <c r="K105" s="1764" t="s">
        <v>1646</v>
      </c>
      <c r="L105" s="1764">
        <v>38908840</v>
      </c>
      <c r="M105" s="1764">
        <v>0</v>
      </c>
      <c r="N105" s="1764">
        <v>0</v>
      </c>
      <c r="O105" s="1764">
        <v>38908840</v>
      </c>
    </row>
    <row r="106" spans="1:16" s="1765" customFormat="1" x14ac:dyDescent="0.25">
      <c r="A106" s="1762" t="s">
        <v>1646</v>
      </c>
      <c r="B106" s="1763" t="s">
        <v>1646</v>
      </c>
      <c r="C106" s="1762" t="s">
        <v>1646</v>
      </c>
      <c r="D106" s="1762" t="s">
        <v>1646</v>
      </c>
      <c r="E106" s="1762" t="s">
        <v>1646</v>
      </c>
      <c r="F106" s="1762" t="s">
        <v>1597</v>
      </c>
      <c r="G106" s="1762" t="s">
        <v>1646</v>
      </c>
      <c r="H106" s="1764" t="s">
        <v>1646</v>
      </c>
      <c r="I106" s="1764" t="s">
        <v>1646</v>
      </c>
      <c r="J106" s="1764" t="s">
        <v>1646</v>
      </c>
      <c r="K106" s="1764" t="s">
        <v>1646</v>
      </c>
      <c r="L106" s="1764">
        <v>8099059</v>
      </c>
      <c r="M106" s="1764">
        <v>0</v>
      </c>
      <c r="N106" s="1764">
        <v>0</v>
      </c>
      <c r="O106" s="1764">
        <v>8099059</v>
      </c>
    </row>
    <row r="107" spans="1:16" s="1765" customFormat="1" x14ac:dyDescent="0.25">
      <c r="A107" s="1762" t="s">
        <v>1646</v>
      </c>
      <c r="B107" s="1763" t="s">
        <v>1646</v>
      </c>
      <c r="C107" s="1762" t="s">
        <v>1646</v>
      </c>
      <c r="D107" s="1762" t="s">
        <v>1646</v>
      </c>
      <c r="E107" s="1762" t="s">
        <v>1646</v>
      </c>
      <c r="F107" s="1762" t="s">
        <v>1597</v>
      </c>
      <c r="G107" s="1762" t="s">
        <v>1598</v>
      </c>
      <c r="H107" s="1764" t="s">
        <v>1646</v>
      </c>
      <c r="I107" s="1764" t="s">
        <v>1646</v>
      </c>
      <c r="J107" s="1764" t="s">
        <v>1646</v>
      </c>
      <c r="K107" s="1764" t="s">
        <v>1646</v>
      </c>
      <c r="L107" s="1764">
        <v>8099059</v>
      </c>
      <c r="M107" s="1764">
        <v>0</v>
      </c>
      <c r="N107" s="1764">
        <v>0</v>
      </c>
      <c r="O107" s="1764">
        <v>8099059</v>
      </c>
    </row>
    <row r="108" spans="1:16" customFormat="1" ht="77.25" x14ac:dyDescent="0.25">
      <c r="A108" s="1721" t="s">
        <v>1646</v>
      </c>
      <c r="B108" s="1754" t="s">
        <v>1952</v>
      </c>
      <c r="C108" s="1721" t="s">
        <v>1646</v>
      </c>
      <c r="D108" s="1721" t="s">
        <v>1646</v>
      </c>
      <c r="E108" s="1721" t="s">
        <v>1646</v>
      </c>
      <c r="F108" s="1721" t="s">
        <v>1646</v>
      </c>
      <c r="G108" s="1721" t="s">
        <v>1646</v>
      </c>
      <c r="H108" s="1722">
        <v>356519400</v>
      </c>
      <c r="I108" s="1722">
        <v>0</v>
      </c>
      <c r="J108" s="1722">
        <v>0</v>
      </c>
      <c r="K108" s="1722">
        <v>356519400</v>
      </c>
      <c r="L108" s="1722">
        <v>171319400</v>
      </c>
      <c r="M108" s="1722">
        <v>0</v>
      </c>
      <c r="N108" s="1722">
        <v>0</v>
      </c>
      <c r="O108" s="1722">
        <v>171319400</v>
      </c>
      <c r="P108" s="1749">
        <f>P109+P110</f>
        <v>70519400</v>
      </c>
    </row>
    <row r="109" spans="1:16" customFormat="1" ht="26.25" x14ac:dyDescent="0.25">
      <c r="A109" s="1721" t="s">
        <v>1646</v>
      </c>
      <c r="B109" s="1754" t="s">
        <v>1934</v>
      </c>
      <c r="C109" s="1721" t="s">
        <v>1592</v>
      </c>
      <c r="D109" s="1721" t="s">
        <v>1600</v>
      </c>
      <c r="E109" s="1721" t="s">
        <v>1606</v>
      </c>
      <c r="F109" s="1721" t="s">
        <v>1646</v>
      </c>
      <c r="G109" s="1721" t="s">
        <v>1646</v>
      </c>
      <c r="H109" s="1722">
        <v>70519400</v>
      </c>
      <c r="I109" s="1722">
        <v>0</v>
      </c>
      <c r="J109" s="1722">
        <v>0</v>
      </c>
      <c r="K109" s="1722">
        <v>70519400</v>
      </c>
      <c r="L109" s="1722">
        <v>70519400</v>
      </c>
      <c r="M109" s="1722">
        <v>0</v>
      </c>
      <c r="N109" s="1722">
        <v>0</v>
      </c>
      <c r="O109" s="1722">
        <v>70519400</v>
      </c>
      <c r="P109" s="2004">
        <v>15630000</v>
      </c>
    </row>
    <row r="110" spans="1:16" customFormat="1" x14ac:dyDescent="0.25">
      <c r="A110" s="1721" t="s">
        <v>1646</v>
      </c>
      <c r="B110" s="1754" t="s">
        <v>1646</v>
      </c>
      <c r="C110" s="1721" t="s">
        <v>1646</v>
      </c>
      <c r="D110" s="1721" t="s">
        <v>1646</v>
      </c>
      <c r="E110" s="1721" t="s">
        <v>1646</v>
      </c>
      <c r="F110" s="1721" t="s">
        <v>1609</v>
      </c>
      <c r="G110" s="1721" t="s">
        <v>1646</v>
      </c>
      <c r="H110" s="1722" t="s">
        <v>1646</v>
      </c>
      <c r="I110" s="1722" t="s">
        <v>1646</v>
      </c>
      <c r="J110" s="1722" t="s">
        <v>1646</v>
      </c>
      <c r="K110" s="1722" t="s">
        <v>1646</v>
      </c>
      <c r="L110" s="1722">
        <v>20000000</v>
      </c>
      <c r="M110" s="1722">
        <v>0</v>
      </c>
      <c r="N110" s="1722">
        <v>0</v>
      </c>
      <c r="O110" s="1722">
        <v>20000000</v>
      </c>
      <c r="P110" s="2004">
        <v>54889400</v>
      </c>
    </row>
    <row r="111" spans="1:16" customFormat="1" x14ac:dyDescent="0.25">
      <c r="A111" s="1721" t="s">
        <v>1646</v>
      </c>
      <c r="B111" s="1754" t="s">
        <v>1646</v>
      </c>
      <c r="C111" s="1721" t="s">
        <v>1646</v>
      </c>
      <c r="D111" s="1721" t="s">
        <v>1646</v>
      </c>
      <c r="E111" s="1721" t="s">
        <v>1646</v>
      </c>
      <c r="F111" s="1721" t="s">
        <v>1609</v>
      </c>
      <c r="G111" s="1721" t="s">
        <v>1610</v>
      </c>
      <c r="H111" s="1722" t="s">
        <v>1646</v>
      </c>
      <c r="I111" s="1722" t="s">
        <v>1646</v>
      </c>
      <c r="J111" s="1722" t="s">
        <v>1646</v>
      </c>
      <c r="K111" s="1722" t="s">
        <v>1646</v>
      </c>
      <c r="L111" s="1722">
        <v>1700000</v>
      </c>
      <c r="M111" s="1722">
        <v>0</v>
      </c>
      <c r="N111" s="1722">
        <v>0</v>
      </c>
      <c r="O111" s="1722">
        <v>1700000</v>
      </c>
    </row>
    <row r="112" spans="1:16" customFormat="1" x14ac:dyDescent="0.25">
      <c r="A112" s="1721" t="s">
        <v>1646</v>
      </c>
      <c r="B112" s="1754" t="s">
        <v>1646</v>
      </c>
      <c r="C112" s="1721" t="s">
        <v>1646</v>
      </c>
      <c r="D112" s="1721" t="s">
        <v>1646</v>
      </c>
      <c r="E112" s="1721" t="s">
        <v>1646</v>
      </c>
      <c r="F112" s="1721" t="s">
        <v>1609</v>
      </c>
      <c r="G112" s="1721" t="s">
        <v>1611</v>
      </c>
      <c r="H112" s="1722" t="s">
        <v>1646</v>
      </c>
      <c r="I112" s="1722" t="s">
        <v>1646</v>
      </c>
      <c r="J112" s="1722" t="s">
        <v>1646</v>
      </c>
      <c r="K112" s="1722" t="s">
        <v>1646</v>
      </c>
      <c r="L112" s="1722">
        <v>3300000</v>
      </c>
      <c r="M112" s="1722">
        <v>0</v>
      </c>
      <c r="N112" s="1722">
        <v>0</v>
      </c>
      <c r="O112" s="1722">
        <v>3300000</v>
      </c>
    </row>
    <row r="113" spans="1:15" customFormat="1" x14ac:dyDescent="0.25">
      <c r="A113" s="1721" t="s">
        <v>1646</v>
      </c>
      <c r="B113" s="1754" t="s">
        <v>1646</v>
      </c>
      <c r="C113" s="1721" t="s">
        <v>1646</v>
      </c>
      <c r="D113" s="1721" t="s">
        <v>1646</v>
      </c>
      <c r="E113" s="1721" t="s">
        <v>1646</v>
      </c>
      <c r="F113" s="1721" t="s">
        <v>1609</v>
      </c>
      <c r="G113" s="1721" t="s">
        <v>1612</v>
      </c>
      <c r="H113" s="1722" t="s">
        <v>1646</v>
      </c>
      <c r="I113" s="1722" t="s">
        <v>1646</v>
      </c>
      <c r="J113" s="1722" t="s">
        <v>1646</v>
      </c>
      <c r="K113" s="1722" t="s">
        <v>1646</v>
      </c>
      <c r="L113" s="1722">
        <v>15000000</v>
      </c>
      <c r="M113" s="1722">
        <v>0</v>
      </c>
      <c r="N113" s="1722">
        <v>0</v>
      </c>
      <c r="O113" s="1722">
        <v>15000000</v>
      </c>
    </row>
    <row r="114" spans="1:15" customFormat="1" x14ac:dyDescent="0.25">
      <c r="A114" s="1721" t="s">
        <v>1646</v>
      </c>
      <c r="B114" s="1754" t="s">
        <v>1646</v>
      </c>
      <c r="C114" s="1721" t="s">
        <v>1646</v>
      </c>
      <c r="D114" s="1721" t="s">
        <v>1646</v>
      </c>
      <c r="E114" s="1721" t="s">
        <v>1646</v>
      </c>
      <c r="F114" s="1721" t="s">
        <v>1660</v>
      </c>
      <c r="G114" s="1721" t="s">
        <v>1646</v>
      </c>
      <c r="H114" s="1722" t="s">
        <v>1646</v>
      </c>
      <c r="I114" s="1722" t="s">
        <v>1646</v>
      </c>
      <c r="J114" s="1722" t="s">
        <v>1646</v>
      </c>
      <c r="K114" s="1722" t="s">
        <v>1646</v>
      </c>
      <c r="L114" s="1722">
        <v>3900000</v>
      </c>
      <c r="M114" s="1722">
        <v>0</v>
      </c>
      <c r="N114" s="1722">
        <v>0</v>
      </c>
      <c r="O114" s="1722">
        <v>3900000</v>
      </c>
    </row>
    <row r="115" spans="1:15" customFormat="1" x14ac:dyDescent="0.25">
      <c r="A115" s="1721" t="s">
        <v>1646</v>
      </c>
      <c r="B115" s="1754" t="s">
        <v>1646</v>
      </c>
      <c r="C115" s="1721" t="s">
        <v>1646</v>
      </c>
      <c r="D115" s="1721" t="s">
        <v>1646</v>
      </c>
      <c r="E115" s="1721" t="s">
        <v>1646</v>
      </c>
      <c r="F115" s="1721" t="s">
        <v>1660</v>
      </c>
      <c r="G115" s="1721" t="s">
        <v>1661</v>
      </c>
      <c r="H115" s="1722" t="s">
        <v>1646</v>
      </c>
      <c r="I115" s="1722" t="s">
        <v>1646</v>
      </c>
      <c r="J115" s="1722" t="s">
        <v>1646</v>
      </c>
      <c r="K115" s="1722" t="s">
        <v>1646</v>
      </c>
      <c r="L115" s="1722">
        <v>1800000</v>
      </c>
      <c r="M115" s="1722">
        <v>0</v>
      </c>
      <c r="N115" s="1722">
        <v>0</v>
      </c>
      <c r="O115" s="1722">
        <v>1800000</v>
      </c>
    </row>
    <row r="116" spans="1:15" customFormat="1" x14ac:dyDescent="0.25">
      <c r="A116" s="1721" t="s">
        <v>1646</v>
      </c>
      <c r="B116" s="1754" t="s">
        <v>1646</v>
      </c>
      <c r="C116" s="1721" t="s">
        <v>1646</v>
      </c>
      <c r="D116" s="1721" t="s">
        <v>1646</v>
      </c>
      <c r="E116" s="1721" t="s">
        <v>1646</v>
      </c>
      <c r="F116" s="1721" t="s">
        <v>1660</v>
      </c>
      <c r="G116" s="1721" t="s">
        <v>1662</v>
      </c>
      <c r="H116" s="1722" t="s">
        <v>1646</v>
      </c>
      <c r="I116" s="1722" t="s">
        <v>1646</v>
      </c>
      <c r="J116" s="1722" t="s">
        <v>1646</v>
      </c>
      <c r="K116" s="1722" t="s">
        <v>1646</v>
      </c>
      <c r="L116" s="1722">
        <v>2100000</v>
      </c>
      <c r="M116" s="1722">
        <v>0</v>
      </c>
      <c r="N116" s="1722">
        <v>0</v>
      </c>
      <c r="O116" s="1722">
        <v>2100000</v>
      </c>
    </row>
    <row r="117" spans="1:15" customFormat="1" x14ac:dyDescent="0.25">
      <c r="A117" s="1721" t="s">
        <v>1646</v>
      </c>
      <c r="B117" s="1754" t="s">
        <v>1646</v>
      </c>
      <c r="C117" s="1721" t="s">
        <v>1646</v>
      </c>
      <c r="D117" s="1721" t="s">
        <v>1646</v>
      </c>
      <c r="E117" s="1721" t="s">
        <v>1646</v>
      </c>
      <c r="F117" s="1721" t="s">
        <v>1654</v>
      </c>
      <c r="G117" s="1721" t="s">
        <v>1646</v>
      </c>
      <c r="H117" s="1722" t="s">
        <v>1646</v>
      </c>
      <c r="I117" s="1722" t="s">
        <v>1646</v>
      </c>
      <c r="J117" s="1722" t="s">
        <v>1646</v>
      </c>
      <c r="K117" s="1722" t="s">
        <v>1646</v>
      </c>
      <c r="L117" s="1722">
        <v>9000000</v>
      </c>
      <c r="M117" s="1722">
        <v>0</v>
      </c>
      <c r="N117" s="1722">
        <v>0</v>
      </c>
      <c r="O117" s="1722">
        <v>9000000</v>
      </c>
    </row>
    <row r="118" spans="1:15" customFormat="1" x14ac:dyDescent="0.25">
      <c r="A118" s="1721" t="s">
        <v>1646</v>
      </c>
      <c r="B118" s="1754" t="s">
        <v>1646</v>
      </c>
      <c r="C118" s="1721" t="s">
        <v>1646</v>
      </c>
      <c r="D118" s="1721" t="s">
        <v>1646</v>
      </c>
      <c r="E118" s="1721" t="s">
        <v>1646</v>
      </c>
      <c r="F118" s="1721" t="s">
        <v>1654</v>
      </c>
      <c r="G118" s="1721" t="s">
        <v>1663</v>
      </c>
      <c r="H118" s="1722" t="s">
        <v>1646</v>
      </c>
      <c r="I118" s="1722" t="s">
        <v>1646</v>
      </c>
      <c r="J118" s="1722" t="s">
        <v>1646</v>
      </c>
      <c r="K118" s="1722" t="s">
        <v>1646</v>
      </c>
      <c r="L118" s="1722">
        <v>9000000</v>
      </c>
      <c r="M118" s="1722">
        <v>0</v>
      </c>
      <c r="N118" s="1722">
        <v>0</v>
      </c>
      <c r="O118" s="1722">
        <v>9000000</v>
      </c>
    </row>
    <row r="119" spans="1:15" customFormat="1" x14ac:dyDescent="0.25">
      <c r="A119" s="1721" t="s">
        <v>1646</v>
      </c>
      <c r="B119" s="1754" t="s">
        <v>1646</v>
      </c>
      <c r="C119" s="1721" t="s">
        <v>1646</v>
      </c>
      <c r="D119" s="1721" t="s">
        <v>1646</v>
      </c>
      <c r="E119" s="1721" t="s">
        <v>1646</v>
      </c>
      <c r="F119" s="1721" t="s">
        <v>1618</v>
      </c>
      <c r="G119" s="1721" t="s">
        <v>1646</v>
      </c>
      <c r="H119" s="1722" t="s">
        <v>1646</v>
      </c>
      <c r="I119" s="1722" t="s">
        <v>1646</v>
      </c>
      <c r="J119" s="1722" t="s">
        <v>1646</v>
      </c>
      <c r="K119" s="1722" t="s">
        <v>1646</v>
      </c>
      <c r="L119" s="1722">
        <v>37619400</v>
      </c>
      <c r="M119" s="1722">
        <v>0</v>
      </c>
      <c r="N119" s="1722">
        <v>0</v>
      </c>
      <c r="O119" s="1722">
        <v>37619400</v>
      </c>
    </row>
    <row r="120" spans="1:15" customFormat="1" x14ac:dyDescent="0.25">
      <c r="A120" s="1721" t="s">
        <v>1646</v>
      </c>
      <c r="B120" s="1754" t="s">
        <v>1646</v>
      </c>
      <c r="C120" s="1721" t="s">
        <v>1646</v>
      </c>
      <c r="D120" s="1721" t="s">
        <v>1646</v>
      </c>
      <c r="E120" s="1721" t="s">
        <v>1646</v>
      </c>
      <c r="F120" s="1721" t="s">
        <v>1618</v>
      </c>
      <c r="G120" s="1721" t="s">
        <v>1619</v>
      </c>
      <c r="H120" s="1722" t="s">
        <v>1646</v>
      </c>
      <c r="I120" s="1722" t="s">
        <v>1646</v>
      </c>
      <c r="J120" s="1722" t="s">
        <v>1646</v>
      </c>
      <c r="K120" s="1722" t="s">
        <v>1646</v>
      </c>
      <c r="L120" s="1722">
        <v>34889400</v>
      </c>
      <c r="M120" s="1722">
        <v>0</v>
      </c>
      <c r="N120" s="1722">
        <v>0</v>
      </c>
      <c r="O120" s="1722">
        <v>34889400</v>
      </c>
    </row>
    <row r="121" spans="1:15" customFormat="1" x14ac:dyDescent="0.25">
      <c r="A121" s="1721" t="s">
        <v>1646</v>
      </c>
      <c r="B121" s="1754" t="s">
        <v>1646</v>
      </c>
      <c r="C121" s="1721" t="s">
        <v>1646</v>
      </c>
      <c r="D121" s="1721" t="s">
        <v>1646</v>
      </c>
      <c r="E121" s="1721" t="s">
        <v>1646</v>
      </c>
      <c r="F121" s="1721" t="s">
        <v>1618</v>
      </c>
      <c r="G121" s="1721" t="s">
        <v>1622</v>
      </c>
      <c r="H121" s="1722" t="s">
        <v>1646</v>
      </c>
      <c r="I121" s="1722" t="s">
        <v>1646</v>
      </c>
      <c r="J121" s="1722" t="s">
        <v>1646</v>
      </c>
      <c r="K121" s="1722" t="s">
        <v>1646</v>
      </c>
      <c r="L121" s="1722">
        <v>2730000</v>
      </c>
      <c r="M121" s="1722">
        <v>0</v>
      </c>
      <c r="N121" s="1722">
        <v>0</v>
      </c>
      <c r="O121" s="1722">
        <v>2730000</v>
      </c>
    </row>
    <row r="122" spans="1:15" customFormat="1" x14ac:dyDescent="0.25">
      <c r="A122" s="1721" t="s">
        <v>1646</v>
      </c>
      <c r="B122" s="1754" t="s">
        <v>1935</v>
      </c>
      <c r="C122" s="1721" t="s">
        <v>1592</v>
      </c>
      <c r="D122" s="1721" t="s">
        <v>1600</v>
      </c>
      <c r="E122" s="1721" t="s">
        <v>1606</v>
      </c>
      <c r="F122" s="1721" t="s">
        <v>1646</v>
      </c>
      <c r="G122" s="1721" t="s">
        <v>1646</v>
      </c>
      <c r="H122" s="1722">
        <v>286000000</v>
      </c>
      <c r="I122" s="1722">
        <v>0</v>
      </c>
      <c r="J122" s="1722">
        <v>0</v>
      </c>
      <c r="K122" s="1722">
        <v>286000000</v>
      </c>
      <c r="L122" s="1722">
        <v>100800000</v>
      </c>
      <c r="M122" s="1722">
        <v>0</v>
      </c>
      <c r="N122" s="1722">
        <v>0</v>
      </c>
      <c r="O122" s="1722">
        <v>100800000</v>
      </c>
    </row>
    <row r="123" spans="1:15" customFormat="1" x14ac:dyDescent="0.25">
      <c r="A123" s="1721" t="s">
        <v>1646</v>
      </c>
      <c r="B123" s="1754" t="s">
        <v>1646</v>
      </c>
      <c r="C123" s="1721" t="s">
        <v>1646</v>
      </c>
      <c r="D123" s="1721" t="s">
        <v>1646</v>
      </c>
      <c r="E123" s="1721" t="s">
        <v>1646</v>
      </c>
      <c r="F123" s="1721" t="s">
        <v>1618</v>
      </c>
      <c r="G123" s="1721" t="s">
        <v>1646</v>
      </c>
      <c r="H123" s="1722" t="s">
        <v>1646</v>
      </c>
      <c r="I123" s="1722" t="s">
        <v>1646</v>
      </c>
      <c r="J123" s="1722" t="s">
        <v>1646</v>
      </c>
      <c r="K123" s="1722" t="s">
        <v>1646</v>
      </c>
      <c r="L123" s="1722">
        <v>100800000</v>
      </c>
      <c r="M123" s="1722">
        <v>0</v>
      </c>
      <c r="N123" s="1722">
        <v>0</v>
      </c>
      <c r="O123" s="1722">
        <v>100800000</v>
      </c>
    </row>
    <row r="124" spans="1:15" customFormat="1" x14ac:dyDescent="0.25">
      <c r="A124" s="1721" t="s">
        <v>1646</v>
      </c>
      <c r="B124" s="1754" t="s">
        <v>1646</v>
      </c>
      <c r="C124" s="1721" t="s">
        <v>1646</v>
      </c>
      <c r="D124" s="1721" t="s">
        <v>1646</v>
      </c>
      <c r="E124" s="1721" t="s">
        <v>1646</v>
      </c>
      <c r="F124" s="1721" t="s">
        <v>1618</v>
      </c>
      <c r="G124" s="1721" t="s">
        <v>1622</v>
      </c>
      <c r="H124" s="1722" t="s">
        <v>1646</v>
      </c>
      <c r="I124" s="1722" t="s">
        <v>1646</v>
      </c>
      <c r="J124" s="1722" t="s">
        <v>1646</v>
      </c>
      <c r="K124" s="1722" t="s">
        <v>1646</v>
      </c>
      <c r="L124" s="1722">
        <v>100800000</v>
      </c>
      <c r="M124" s="1722">
        <v>0</v>
      </c>
      <c r="N124" s="1722">
        <v>0</v>
      </c>
      <c r="O124" s="1722">
        <v>100800000</v>
      </c>
    </row>
    <row r="125" spans="1:15" customFormat="1" ht="77.25" x14ac:dyDescent="0.25">
      <c r="A125" s="1721" t="s">
        <v>1646</v>
      </c>
      <c r="B125" s="1754" t="s">
        <v>1953</v>
      </c>
      <c r="C125" s="1721" t="s">
        <v>1646</v>
      </c>
      <c r="D125" s="1721" t="s">
        <v>1646</v>
      </c>
      <c r="E125" s="1721" t="s">
        <v>1646</v>
      </c>
      <c r="F125" s="1721" t="s">
        <v>1646</v>
      </c>
      <c r="G125" s="1721" t="s">
        <v>1646</v>
      </c>
      <c r="H125" s="1722">
        <v>46850000</v>
      </c>
      <c r="I125" s="1722">
        <v>0</v>
      </c>
      <c r="J125" s="1722">
        <v>0</v>
      </c>
      <c r="K125" s="1722">
        <v>46850000</v>
      </c>
      <c r="L125" s="1722">
        <v>13850000</v>
      </c>
      <c r="M125" s="1722">
        <v>0</v>
      </c>
      <c r="N125" s="1722">
        <v>0</v>
      </c>
      <c r="O125" s="1722">
        <v>13850000</v>
      </c>
    </row>
    <row r="126" spans="1:15" customFormat="1" ht="26.25" x14ac:dyDescent="0.25">
      <c r="A126" s="1721" t="s">
        <v>1646</v>
      </c>
      <c r="B126" s="1754" t="s">
        <v>1934</v>
      </c>
      <c r="C126" s="1721" t="s">
        <v>1592</v>
      </c>
      <c r="D126" s="1721" t="s">
        <v>1642</v>
      </c>
      <c r="E126" s="1721" t="s">
        <v>1650</v>
      </c>
      <c r="F126" s="1721" t="s">
        <v>1646</v>
      </c>
      <c r="G126" s="1721" t="s">
        <v>1646</v>
      </c>
      <c r="H126" s="1722">
        <v>13850000</v>
      </c>
      <c r="I126" s="1722">
        <v>0</v>
      </c>
      <c r="J126" s="1722">
        <v>0</v>
      </c>
      <c r="K126" s="1722">
        <v>13850000</v>
      </c>
      <c r="L126" s="1722">
        <v>13850000</v>
      </c>
      <c r="M126" s="1722">
        <v>0</v>
      </c>
      <c r="N126" s="1722">
        <v>0</v>
      </c>
      <c r="O126" s="1722">
        <v>13850000</v>
      </c>
    </row>
    <row r="127" spans="1:15" customFormat="1" x14ac:dyDescent="0.25">
      <c r="A127" s="1721" t="s">
        <v>1646</v>
      </c>
      <c r="B127" s="1754" t="s">
        <v>1646</v>
      </c>
      <c r="C127" s="1721" t="s">
        <v>1646</v>
      </c>
      <c r="D127" s="1721" t="s">
        <v>1646</v>
      </c>
      <c r="E127" s="1721" t="s">
        <v>1646</v>
      </c>
      <c r="F127" s="1721" t="s">
        <v>1623</v>
      </c>
      <c r="G127" s="1721" t="s">
        <v>1646</v>
      </c>
      <c r="H127" s="1722" t="s">
        <v>1646</v>
      </c>
      <c r="I127" s="1722" t="s">
        <v>1646</v>
      </c>
      <c r="J127" s="1722" t="s">
        <v>1646</v>
      </c>
      <c r="K127" s="1722" t="s">
        <v>1646</v>
      </c>
      <c r="L127" s="1722">
        <v>8350000</v>
      </c>
      <c r="M127" s="1722">
        <v>0</v>
      </c>
      <c r="N127" s="1722">
        <v>0</v>
      </c>
      <c r="O127" s="1722">
        <v>8350000</v>
      </c>
    </row>
    <row r="128" spans="1:15" customFormat="1" x14ac:dyDescent="0.25">
      <c r="A128" s="1721" t="s">
        <v>1646</v>
      </c>
      <c r="B128" s="1754" t="s">
        <v>1646</v>
      </c>
      <c r="C128" s="1721" t="s">
        <v>1646</v>
      </c>
      <c r="D128" s="1721" t="s">
        <v>1646</v>
      </c>
      <c r="E128" s="1721" t="s">
        <v>1646</v>
      </c>
      <c r="F128" s="1721" t="s">
        <v>1623</v>
      </c>
      <c r="G128" s="1721" t="s">
        <v>1624</v>
      </c>
      <c r="H128" s="1722" t="s">
        <v>1646</v>
      </c>
      <c r="I128" s="1722" t="s">
        <v>1646</v>
      </c>
      <c r="J128" s="1722" t="s">
        <v>1646</v>
      </c>
      <c r="K128" s="1722" t="s">
        <v>1646</v>
      </c>
      <c r="L128" s="1722">
        <v>8350000</v>
      </c>
      <c r="M128" s="1722">
        <v>0</v>
      </c>
      <c r="N128" s="1722">
        <v>0</v>
      </c>
      <c r="O128" s="1722">
        <v>8350000</v>
      </c>
    </row>
    <row r="129" spans="1:15" customFormat="1" x14ac:dyDescent="0.25">
      <c r="A129" s="1721" t="s">
        <v>1646</v>
      </c>
      <c r="B129" s="1754" t="s">
        <v>1646</v>
      </c>
      <c r="C129" s="1721" t="s">
        <v>1646</v>
      </c>
      <c r="D129" s="1721" t="s">
        <v>1646</v>
      </c>
      <c r="E129" s="1721" t="s">
        <v>1646</v>
      </c>
      <c r="F129" s="1721" t="s">
        <v>1602</v>
      </c>
      <c r="G129" s="1721" t="s">
        <v>1646</v>
      </c>
      <c r="H129" s="1722" t="s">
        <v>1646</v>
      </c>
      <c r="I129" s="1722" t="s">
        <v>1646</v>
      </c>
      <c r="J129" s="1722" t="s">
        <v>1646</v>
      </c>
      <c r="K129" s="1722" t="s">
        <v>1646</v>
      </c>
      <c r="L129" s="1722">
        <v>5500000</v>
      </c>
      <c r="M129" s="1722">
        <v>0</v>
      </c>
      <c r="N129" s="1722">
        <v>0</v>
      </c>
      <c r="O129" s="1722">
        <v>5500000</v>
      </c>
    </row>
    <row r="130" spans="1:15" customFormat="1" x14ac:dyDescent="0.25">
      <c r="A130" s="1721" t="s">
        <v>1646</v>
      </c>
      <c r="B130" s="1754" t="s">
        <v>1646</v>
      </c>
      <c r="C130" s="1721" t="s">
        <v>1646</v>
      </c>
      <c r="D130" s="1721" t="s">
        <v>1646</v>
      </c>
      <c r="E130" s="1721" t="s">
        <v>1646</v>
      </c>
      <c r="F130" s="1721" t="s">
        <v>1602</v>
      </c>
      <c r="G130" s="1721" t="s">
        <v>1680</v>
      </c>
      <c r="H130" s="1722" t="s">
        <v>1646</v>
      </c>
      <c r="I130" s="1722" t="s">
        <v>1646</v>
      </c>
      <c r="J130" s="1722" t="s">
        <v>1646</v>
      </c>
      <c r="K130" s="1722" t="s">
        <v>1646</v>
      </c>
      <c r="L130" s="1722">
        <v>5500000</v>
      </c>
      <c r="M130" s="1722">
        <v>0</v>
      </c>
      <c r="N130" s="1722">
        <v>0</v>
      </c>
      <c r="O130" s="1722">
        <v>5500000</v>
      </c>
    </row>
    <row r="131" spans="1:15" customFormat="1" x14ac:dyDescent="0.25">
      <c r="A131" s="1721" t="s">
        <v>1646</v>
      </c>
      <c r="B131" s="1754" t="s">
        <v>1935</v>
      </c>
      <c r="C131" s="1721" t="s">
        <v>1592</v>
      </c>
      <c r="D131" s="1721" t="s">
        <v>1642</v>
      </c>
      <c r="E131" s="1721" t="s">
        <v>1650</v>
      </c>
      <c r="F131" s="1721" t="s">
        <v>1646</v>
      </c>
      <c r="G131" s="1721" t="s">
        <v>1646</v>
      </c>
      <c r="H131" s="1722">
        <v>33000000</v>
      </c>
      <c r="I131" s="1722">
        <v>0</v>
      </c>
      <c r="J131" s="1722">
        <v>0</v>
      </c>
      <c r="K131" s="1722">
        <v>33000000</v>
      </c>
      <c r="L131" s="1722">
        <v>0</v>
      </c>
      <c r="M131" s="1722">
        <v>0</v>
      </c>
      <c r="N131" s="1722">
        <v>0</v>
      </c>
      <c r="O131" s="1722">
        <v>0</v>
      </c>
    </row>
    <row r="132" spans="1:15" customFormat="1" ht="51.75" x14ac:dyDescent="0.25">
      <c r="A132" s="1721" t="s">
        <v>1646</v>
      </c>
      <c r="B132" s="1754" t="s">
        <v>1954</v>
      </c>
      <c r="C132" s="1721" t="s">
        <v>1646</v>
      </c>
      <c r="D132" s="1721" t="s">
        <v>1646</v>
      </c>
      <c r="E132" s="1721" t="s">
        <v>1646</v>
      </c>
      <c r="F132" s="1721" t="s">
        <v>1646</v>
      </c>
      <c r="G132" s="1721" t="s">
        <v>1646</v>
      </c>
      <c r="H132" s="1722">
        <v>36000000</v>
      </c>
      <c r="I132" s="1722">
        <v>16000000</v>
      </c>
      <c r="J132" s="1722">
        <v>18000000</v>
      </c>
      <c r="K132" s="1722">
        <v>2000000</v>
      </c>
      <c r="L132" s="1722">
        <v>4067160</v>
      </c>
      <c r="M132" s="1722">
        <v>0</v>
      </c>
      <c r="N132" s="1722">
        <v>0</v>
      </c>
      <c r="O132" s="1722">
        <v>4067160</v>
      </c>
    </row>
    <row r="133" spans="1:15" s="1765" customFormat="1" ht="39" x14ac:dyDescent="0.25">
      <c r="A133" s="1762" t="s">
        <v>1646</v>
      </c>
      <c r="B133" s="1763" t="s">
        <v>1947</v>
      </c>
      <c r="C133" s="1762" t="s">
        <v>1592</v>
      </c>
      <c r="D133" s="1762" t="s">
        <v>1600</v>
      </c>
      <c r="E133" s="1762" t="s">
        <v>1603</v>
      </c>
      <c r="F133" s="1762" t="s">
        <v>1646</v>
      </c>
      <c r="G133" s="1762" t="s">
        <v>1646</v>
      </c>
      <c r="H133" s="1764">
        <v>14000000</v>
      </c>
      <c r="I133" s="1764">
        <v>6000000</v>
      </c>
      <c r="J133" s="1764">
        <v>7000000</v>
      </c>
      <c r="K133" s="1764">
        <v>1000000</v>
      </c>
      <c r="L133" s="1764">
        <v>4067160</v>
      </c>
      <c r="M133" s="1764">
        <v>0</v>
      </c>
      <c r="N133" s="1764">
        <v>0</v>
      </c>
      <c r="O133" s="1764">
        <v>4067160</v>
      </c>
    </row>
    <row r="134" spans="1:15" s="1765" customFormat="1" x14ac:dyDescent="0.25">
      <c r="A134" s="1762" t="s">
        <v>1646</v>
      </c>
      <c r="B134" s="1763" t="s">
        <v>1646</v>
      </c>
      <c r="C134" s="1762" t="s">
        <v>1646</v>
      </c>
      <c r="D134" s="1762" t="s">
        <v>1646</v>
      </c>
      <c r="E134" s="1762" t="s">
        <v>1646</v>
      </c>
      <c r="F134" s="1762" t="s">
        <v>1595</v>
      </c>
      <c r="G134" s="1762" t="s">
        <v>1646</v>
      </c>
      <c r="H134" s="1764" t="s">
        <v>1646</v>
      </c>
      <c r="I134" s="1764" t="s">
        <v>1646</v>
      </c>
      <c r="J134" s="1764" t="s">
        <v>1646</v>
      </c>
      <c r="K134" s="1764" t="s">
        <v>1646</v>
      </c>
      <c r="L134" s="1764">
        <v>1375033</v>
      </c>
      <c r="M134" s="1764">
        <v>0</v>
      </c>
      <c r="N134" s="1764">
        <v>0</v>
      </c>
      <c r="O134" s="1764">
        <v>1375033</v>
      </c>
    </row>
    <row r="135" spans="1:15" s="1765" customFormat="1" x14ac:dyDescent="0.25">
      <c r="A135" s="1762" t="s">
        <v>1646</v>
      </c>
      <c r="B135" s="1763" t="s">
        <v>1646</v>
      </c>
      <c r="C135" s="1762" t="s">
        <v>1646</v>
      </c>
      <c r="D135" s="1762" t="s">
        <v>1646</v>
      </c>
      <c r="E135" s="1762" t="s">
        <v>1646</v>
      </c>
      <c r="F135" s="1762" t="s">
        <v>1595</v>
      </c>
      <c r="G135" s="1762" t="s">
        <v>1596</v>
      </c>
      <c r="H135" s="1764" t="s">
        <v>1646</v>
      </c>
      <c r="I135" s="1764" t="s">
        <v>1646</v>
      </c>
      <c r="J135" s="1764" t="s">
        <v>1646</v>
      </c>
      <c r="K135" s="1764" t="s">
        <v>1646</v>
      </c>
      <c r="L135" s="1764">
        <v>1375033</v>
      </c>
      <c r="M135" s="1764">
        <v>0</v>
      </c>
      <c r="N135" s="1764">
        <v>0</v>
      </c>
      <c r="O135" s="1764">
        <v>1375033</v>
      </c>
    </row>
    <row r="136" spans="1:15" s="1765" customFormat="1" x14ac:dyDescent="0.25">
      <c r="A136" s="1762" t="s">
        <v>1646</v>
      </c>
      <c r="B136" s="1763" t="s">
        <v>1646</v>
      </c>
      <c r="C136" s="1762" t="s">
        <v>1646</v>
      </c>
      <c r="D136" s="1762" t="s">
        <v>1646</v>
      </c>
      <c r="E136" s="1762" t="s">
        <v>1646</v>
      </c>
      <c r="F136" s="1762" t="s">
        <v>1597</v>
      </c>
      <c r="G136" s="1762" t="s">
        <v>1646</v>
      </c>
      <c r="H136" s="1764" t="s">
        <v>1646</v>
      </c>
      <c r="I136" s="1764" t="s">
        <v>1646</v>
      </c>
      <c r="J136" s="1764" t="s">
        <v>1646</v>
      </c>
      <c r="K136" s="1764" t="s">
        <v>1646</v>
      </c>
      <c r="L136" s="1764">
        <v>2692127</v>
      </c>
      <c r="M136" s="1764">
        <v>0</v>
      </c>
      <c r="N136" s="1764">
        <v>0</v>
      </c>
      <c r="O136" s="1764">
        <v>2692127</v>
      </c>
    </row>
    <row r="137" spans="1:15" s="1765" customFormat="1" x14ac:dyDescent="0.25">
      <c r="A137" s="1762" t="s">
        <v>1646</v>
      </c>
      <c r="B137" s="1763" t="s">
        <v>1646</v>
      </c>
      <c r="C137" s="1762" t="s">
        <v>1646</v>
      </c>
      <c r="D137" s="1762" t="s">
        <v>1646</v>
      </c>
      <c r="E137" s="1762" t="s">
        <v>1646</v>
      </c>
      <c r="F137" s="1762" t="s">
        <v>1597</v>
      </c>
      <c r="G137" s="1762" t="s">
        <v>1598</v>
      </c>
      <c r="H137" s="1764" t="s">
        <v>1646</v>
      </c>
      <c r="I137" s="1764" t="s">
        <v>1646</v>
      </c>
      <c r="J137" s="1764" t="s">
        <v>1646</v>
      </c>
      <c r="K137" s="1764" t="s">
        <v>1646</v>
      </c>
      <c r="L137" s="1764">
        <v>2692127</v>
      </c>
      <c r="M137" s="1764">
        <v>0</v>
      </c>
      <c r="N137" s="1764">
        <v>0</v>
      </c>
      <c r="O137" s="1764">
        <v>2692127</v>
      </c>
    </row>
    <row r="138" spans="1:15" customFormat="1" ht="39" x14ac:dyDescent="0.25">
      <c r="A138" s="1721" t="s">
        <v>1646</v>
      </c>
      <c r="B138" s="1754" t="s">
        <v>1949</v>
      </c>
      <c r="C138" s="1721" t="s">
        <v>1592</v>
      </c>
      <c r="D138" s="1721" t="s">
        <v>1600</v>
      </c>
      <c r="E138" s="1721" t="s">
        <v>1603</v>
      </c>
      <c r="F138" s="1721" t="s">
        <v>1646</v>
      </c>
      <c r="G138" s="1721" t="s">
        <v>1646</v>
      </c>
      <c r="H138" s="1722">
        <v>2000000</v>
      </c>
      <c r="I138" s="1722">
        <v>0</v>
      </c>
      <c r="J138" s="1722">
        <v>1000000</v>
      </c>
      <c r="K138" s="1722">
        <v>1000000</v>
      </c>
      <c r="L138" s="1722">
        <v>0</v>
      </c>
      <c r="M138" s="1722">
        <v>0</v>
      </c>
      <c r="N138" s="1722">
        <v>0</v>
      </c>
      <c r="O138" s="1722">
        <v>0</v>
      </c>
    </row>
    <row r="139" spans="1:15" customFormat="1" ht="26.25" x14ac:dyDescent="0.25">
      <c r="A139" s="1721" t="s">
        <v>1646</v>
      </c>
      <c r="B139" s="1754" t="s">
        <v>1951</v>
      </c>
      <c r="C139" s="1721" t="s">
        <v>1592</v>
      </c>
      <c r="D139" s="1721" t="s">
        <v>1600</v>
      </c>
      <c r="E139" s="1721" t="s">
        <v>1603</v>
      </c>
      <c r="F139" s="1721" t="s">
        <v>1646</v>
      </c>
      <c r="G139" s="1721" t="s">
        <v>1646</v>
      </c>
      <c r="H139" s="1722">
        <v>20000000</v>
      </c>
      <c r="I139" s="1722">
        <v>10000000</v>
      </c>
      <c r="J139" s="1722">
        <v>10000000</v>
      </c>
      <c r="K139" s="1722">
        <v>0</v>
      </c>
      <c r="L139" s="1722">
        <v>0</v>
      </c>
      <c r="M139" s="1722">
        <v>0</v>
      </c>
      <c r="N139" s="1722">
        <v>0</v>
      </c>
      <c r="O139" s="1722">
        <v>0</v>
      </c>
    </row>
    <row r="140" spans="1:15" customFormat="1" ht="64.5" x14ac:dyDescent="0.25">
      <c r="A140" s="1721" t="s">
        <v>1646</v>
      </c>
      <c r="B140" s="1754" t="s">
        <v>1955</v>
      </c>
      <c r="C140" s="1721" t="s">
        <v>1646</v>
      </c>
      <c r="D140" s="1721" t="s">
        <v>1646</v>
      </c>
      <c r="E140" s="1721" t="s">
        <v>1646</v>
      </c>
      <c r="F140" s="1721" t="s">
        <v>1646</v>
      </c>
      <c r="G140" s="1721" t="s">
        <v>1646</v>
      </c>
      <c r="H140" s="1722">
        <v>14000000</v>
      </c>
      <c r="I140" s="1722">
        <v>0</v>
      </c>
      <c r="J140" s="1722">
        <v>0</v>
      </c>
      <c r="K140" s="1722">
        <v>14000000</v>
      </c>
      <c r="L140" s="1722">
        <v>0</v>
      </c>
      <c r="M140" s="1722">
        <v>0</v>
      </c>
      <c r="N140" s="1722">
        <v>0</v>
      </c>
      <c r="O140" s="1722">
        <v>0</v>
      </c>
    </row>
    <row r="141" spans="1:15" customFormat="1" x14ac:dyDescent="0.25">
      <c r="A141" s="1721" t="s">
        <v>1646</v>
      </c>
      <c r="B141" s="1754" t="s">
        <v>1935</v>
      </c>
      <c r="C141" s="1721" t="s">
        <v>1592</v>
      </c>
      <c r="D141" s="1721" t="s">
        <v>1600</v>
      </c>
      <c r="E141" s="1721" t="s">
        <v>1606</v>
      </c>
      <c r="F141" s="1721" t="s">
        <v>1646</v>
      </c>
      <c r="G141" s="1721" t="s">
        <v>1646</v>
      </c>
      <c r="H141" s="1722">
        <v>14000000</v>
      </c>
      <c r="I141" s="1722">
        <v>0</v>
      </c>
      <c r="J141" s="1722">
        <v>0</v>
      </c>
      <c r="K141" s="1722">
        <v>14000000</v>
      </c>
      <c r="L141" s="1722">
        <v>0</v>
      </c>
      <c r="M141" s="1722">
        <v>0</v>
      </c>
      <c r="N141" s="1722">
        <v>0</v>
      </c>
      <c r="O141" s="1722">
        <v>0</v>
      </c>
    </row>
    <row r="142" spans="1:15" customFormat="1" ht="77.25" x14ac:dyDescent="0.25">
      <c r="A142" s="1721" t="s">
        <v>1646</v>
      </c>
      <c r="B142" s="1754" t="s">
        <v>1956</v>
      </c>
      <c r="C142" s="1721" t="s">
        <v>1646</v>
      </c>
      <c r="D142" s="1721" t="s">
        <v>1646</v>
      </c>
      <c r="E142" s="1721" t="s">
        <v>1646</v>
      </c>
      <c r="F142" s="1721" t="s">
        <v>1646</v>
      </c>
      <c r="G142" s="1721" t="s">
        <v>1646</v>
      </c>
      <c r="H142" s="1722">
        <v>2000000</v>
      </c>
      <c r="I142" s="1722">
        <v>0</v>
      </c>
      <c r="J142" s="1722">
        <v>0</v>
      </c>
      <c r="K142" s="1722">
        <v>2000000</v>
      </c>
      <c r="L142" s="1722">
        <v>0</v>
      </c>
      <c r="M142" s="1722">
        <v>0</v>
      </c>
      <c r="N142" s="1722">
        <v>0</v>
      </c>
      <c r="O142" s="1722">
        <v>0</v>
      </c>
    </row>
    <row r="143" spans="1:15" customFormat="1" x14ac:dyDescent="0.25">
      <c r="A143" s="1721" t="s">
        <v>1646</v>
      </c>
      <c r="B143" s="1754" t="s">
        <v>1935</v>
      </c>
      <c r="C143" s="1721" t="s">
        <v>1592</v>
      </c>
      <c r="D143" s="1721" t="s">
        <v>1642</v>
      </c>
      <c r="E143" s="1721" t="s">
        <v>1650</v>
      </c>
      <c r="F143" s="1721" t="s">
        <v>1646</v>
      </c>
      <c r="G143" s="1721" t="s">
        <v>1646</v>
      </c>
      <c r="H143" s="1722">
        <v>2000000</v>
      </c>
      <c r="I143" s="1722">
        <v>0</v>
      </c>
      <c r="J143" s="1722">
        <v>0</v>
      </c>
      <c r="K143" s="1722">
        <v>2000000</v>
      </c>
      <c r="L143" s="1722">
        <v>0</v>
      </c>
      <c r="M143" s="1722">
        <v>0</v>
      </c>
      <c r="N143" s="1722">
        <v>0</v>
      </c>
      <c r="O143" s="1722">
        <v>0</v>
      </c>
    </row>
    <row r="144" spans="1:15" customFormat="1" ht="64.5" x14ac:dyDescent="0.25">
      <c r="A144" s="1724" t="s">
        <v>1451</v>
      </c>
      <c r="B144" s="1753" t="s">
        <v>1957</v>
      </c>
      <c r="C144" s="1721" t="s">
        <v>1646</v>
      </c>
      <c r="D144" s="1721" t="s">
        <v>1646</v>
      </c>
      <c r="E144" s="1721" t="s">
        <v>1646</v>
      </c>
      <c r="F144" s="1721" t="s">
        <v>1646</v>
      </c>
      <c r="G144" s="1721" t="s">
        <v>1646</v>
      </c>
      <c r="H144" s="1723">
        <v>265610000</v>
      </c>
      <c r="I144" s="1723">
        <v>0</v>
      </c>
      <c r="J144" s="1723">
        <v>0</v>
      </c>
      <c r="K144" s="1723">
        <v>265610000</v>
      </c>
      <c r="L144" s="1723">
        <v>265610000</v>
      </c>
      <c r="M144" s="1723">
        <v>0</v>
      </c>
      <c r="N144" s="1723">
        <v>0</v>
      </c>
      <c r="O144" s="1723">
        <v>265610000</v>
      </c>
    </row>
    <row r="145" spans="1:15" customFormat="1" ht="39" x14ac:dyDescent="0.25">
      <c r="A145" s="1721" t="s">
        <v>1646</v>
      </c>
      <c r="B145" s="1754" t="s">
        <v>1958</v>
      </c>
      <c r="C145" s="1721" t="s">
        <v>1646</v>
      </c>
      <c r="D145" s="1721" t="s">
        <v>1646</v>
      </c>
      <c r="E145" s="1721" t="s">
        <v>1646</v>
      </c>
      <c r="F145" s="1721" t="s">
        <v>1646</v>
      </c>
      <c r="G145" s="1721" t="s">
        <v>1646</v>
      </c>
      <c r="H145" s="1722">
        <v>13879500</v>
      </c>
      <c r="I145" s="1722">
        <v>0</v>
      </c>
      <c r="J145" s="1722">
        <v>0</v>
      </c>
      <c r="K145" s="1722">
        <v>13879500</v>
      </c>
      <c r="L145" s="1722">
        <v>13879500</v>
      </c>
      <c r="M145" s="1722">
        <v>0</v>
      </c>
      <c r="N145" s="1722">
        <v>0</v>
      </c>
      <c r="O145" s="1722">
        <v>13879500</v>
      </c>
    </row>
    <row r="146" spans="1:15" customFormat="1" ht="26.25" x14ac:dyDescent="0.25">
      <c r="A146" s="1721" t="s">
        <v>1646</v>
      </c>
      <c r="B146" s="1754" t="s">
        <v>1937</v>
      </c>
      <c r="C146" s="1721" t="s">
        <v>1592</v>
      </c>
      <c r="D146" s="1721" t="s">
        <v>1593</v>
      </c>
      <c r="E146" s="1721" t="s">
        <v>1691</v>
      </c>
      <c r="F146" s="1721" t="s">
        <v>1646</v>
      </c>
      <c r="G146" s="1721" t="s">
        <v>1646</v>
      </c>
      <c r="H146" s="1722">
        <v>13879500</v>
      </c>
      <c r="I146" s="1722">
        <v>0</v>
      </c>
      <c r="J146" s="1722">
        <v>0</v>
      </c>
      <c r="K146" s="1722">
        <v>13879500</v>
      </c>
      <c r="L146" s="1722">
        <v>13879500</v>
      </c>
      <c r="M146" s="1722">
        <v>0</v>
      </c>
      <c r="N146" s="1722">
        <v>0</v>
      </c>
      <c r="O146" s="1722">
        <v>13879500</v>
      </c>
    </row>
    <row r="147" spans="1:15" customFormat="1" x14ac:dyDescent="0.25">
      <c r="A147" s="1721" t="s">
        <v>1646</v>
      </c>
      <c r="B147" s="1754" t="s">
        <v>1646</v>
      </c>
      <c r="C147" s="1721" t="s">
        <v>1646</v>
      </c>
      <c r="D147" s="1721" t="s">
        <v>1646</v>
      </c>
      <c r="E147" s="1721" t="s">
        <v>1646</v>
      </c>
      <c r="F147" s="1721" t="s">
        <v>1692</v>
      </c>
      <c r="G147" s="1721" t="s">
        <v>1646</v>
      </c>
      <c r="H147" s="1722" t="s">
        <v>1646</v>
      </c>
      <c r="I147" s="1722" t="s">
        <v>1646</v>
      </c>
      <c r="J147" s="1722" t="s">
        <v>1646</v>
      </c>
      <c r="K147" s="1722" t="s">
        <v>1646</v>
      </c>
      <c r="L147" s="1722">
        <v>13879500</v>
      </c>
      <c r="M147" s="1722">
        <v>0</v>
      </c>
      <c r="N147" s="1722">
        <v>0</v>
      </c>
      <c r="O147" s="1722">
        <v>13879500</v>
      </c>
    </row>
    <row r="148" spans="1:15" customFormat="1" x14ac:dyDescent="0.25">
      <c r="A148" s="1721" t="s">
        <v>1646</v>
      </c>
      <c r="B148" s="1754" t="s">
        <v>1646</v>
      </c>
      <c r="C148" s="1721" t="s">
        <v>1646</v>
      </c>
      <c r="D148" s="1721" t="s">
        <v>1646</v>
      </c>
      <c r="E148" s="1721" t="s">
        <v>1646</v>
      </c>
      <c r="F148" s="1721" t="s">
        <v>1692</v>
      </c>
      <c r="G148" s="1721" t="s">
        <v>1693</v>
      </c>
      <c r="H148" s="1722" t="s">
        <v>1646</v>
      </c>
      <c r="I148" s="1722" t="s">
        <v>1646</v>
      </c>
      <c r="J148" s="1722" t="s">
        <v>1646</v>
      </c>
      <c r="K148" s="1722" t="s">
        <v>1646</v>
      </c>
      <c r="L148" s="1722">
        <v>13879500</v>
      </c>
      <c r="M148" s="1722">
        <v>0</v>
      </c>
      <c r="N148" s="1722">
        <v>0</v>
      </c>
      <c r="O148" s="1722">
        <v>13879500</v>
      </c>
    </row>
    <row r="149" spans="1:15" customFormat="1" ht="51.75" x14ac:dyDescent="0.25">
      <c r="A149" s="1721" t="s">
        <v>1646</v>
      </c>
      <c r="B149" s="1754" t="s">
        <v>1959</v>
      </c>
      <c r="C149" s="1721" t="s">
        <v>1646</v>
      </c>
      <c r="D149" s="1721" t="s">
        <v>1646</v>
      </c>
      <c r="E149" s="1721" t="s">
        <v>1646</v>
      </c>
      <c r="F149" s="1721" t="s">
        <v>1646</v>
      </c>
      <c r="G149" s="1721" t="s">
        <v>1646</v>
      </c>
      <c r="H149" s="1722">
        <v>49000000</v>
      </c>
      <c r="I149" s="1722">
        <v>0</v>
      </c>
      <c r="J149" s="1722">
        <v>0</v>
      </c>
      <c r="K149" s="1722">
        <v>49000000</v>
      </c>
      <c r="L149" s="1722">
        <v>49000000</v>
      </c>
      <c r="M149" s="1722">
        <v>0</v>
      </c>
      <c r="N149" s="1722">
        <v>0</v>
      </c>
      <c r="O149" s="1722">
        <v>49000000</v>
      </c>
    </row>
    <row r="150" spans="1:15" customFormat="1" ht="26.25" x14ac:dyDescent="0.25">
      <c r="A150" s="1721" t="s">
        <v>1646</v>
      </c>
      <c r="B150" s="1754" t="s">
        <v>1934</v>
      </c>
      <c r="C150" s="1721" t="s">
        <v>1592</v>
      </c>
      <c r="D150" s="1721" t="s">
        <v>1620</v>
      </c>
      <c r="E150" s="1721" t="s">
        <v>1629</v>
      </c>
      <c r="F150" s="1721" t="s">
        <v>1646</v>
      </c>
      <c r="G150" s="1721" t="s">
        <v>1646</v>
      </c>
      <c r="H150" s="1722">
        <v>49000000</v>
      </c>
      <c r="I150" s="1722">
        <v>0</v>
      </c>
      <c r="J150" s="1722">
        <v>0</v>
      </c>
      <c r="K150" s="1722">
        <v>49000000</v>
      </c>
      <c r="L150" s="1722">
        <v>49000000</v>
      </c>
      <c r="M150" s="1722">
        <v>0</v>
      </c>
      <c r="N150" s="1722">
        <v>0</v>
      </c>
      <c r="O150" s="1722">
        <v>49000000</v>
      </c>
    </row>
    <row r="151" spans="1:15" customFormat="1" x14ac:dyDescent="0.25">
      <c r="A151" s="1721" t="s">
        <v>1646</v>
      </c>
      <c r="B151" s="1754" t="s">
        <v>1646</v>
      </c>
      <c r="C151" s="1721" t="s">
        <v>1646</v>
      </c>
      <c r="D151" s="1721" t="s">
        <v>1646</v>
      </c>
      <c r="E151" s="1721" t="s">
        <v>1646</v>
      </c>
      <c r="F151" s="1721" t="s">
        <v>1615</v>
      </c>
      <c r="G151" s="1721" t="s">
        <v>1646</v>
      </c>
      <c r="H151" s="1722" t="s">
        <v>1646</v>
      </c>
      <c r="I151" s="1722" t="s">
        <v>1646</v>
      </c>
      <c r="J151" s="1722" t="s">
        <v>1646</v>
      </c>
      <c r="K151" s="1722" t="s">
        <v>1646</v>
      </c>
      <c r="L151" s="1722">
        <v>49000000</v>
      </c>
      <c r="M151" s="1722">
        <v>0</v>
      </c>
      <c r="N151" s="1722">
        <v>0</v>
      </c>
      <c r="O151" s="1722">
        <v>49000000</v>
      </c>
    </row>
    <row r="152" spans="1:15" customFormat="1" x14ac:dyDescent="0.25">
      <c r="A152" s="1721" t="s">
        <v>1646</v>
      </c>
      <c r="B152" s="1754" t="s">
        <v>1646</v>
      </c>
      <c r="C152" s="1721" t="s">
        <v>1646</v>
      </c>
      <c r="D152" s="1721" t="s">
        <v>1646</v>
      </c>
      <c r="E152" s="1721" t="s">
        <v>1646</v>
      </c>
      <c r="F152" s="1721" t="s">
        <v>1615</v>
      </c>
      <c r="G152" s="1721" t="s">
        <v>1616</v>
      </c>
      <c r="H152" s="1722" t="s">
        <v>1646</v>
      </c>
      <c r="I152" s="1722" t="s">
        <v>1646</v>
      </c>
      <c r="J152" s="1722" t="s">
        <v>1646</v>
      </c>
      <c r="K152" s="1722" t="s">
        <v>1646</v>
      </c>
      <c r="L152" s="1722">
        <v>49000000</v>
      </c>
      <c r="M152" s="1722">
        <v>0</v>
      </c>
      <c r="N152" s="1722">
        <v>0</v>
      </c>
      <c r="O152" s="1722">
        <v>49000000</v>
      </c>
    </row>
    <row r="153" spans="1:15" customFormat="1" ht="64.5" x14ac:dyDescent="0.25">
      <c r="A153" s="1721" t="s">
        <v>1646</v>
      </c>
      <c r="B153" s="1754" t="s">
        <v>1960</v>
      </c>
      <c r="C153" s="1721" t="s">
        <v>1646</v>
      </c>
      <c r="D153" s="1721" t="s">
        <v>1646</v>
      </c>
      <c r="E153" s="1721" t="s">
        <v>1646</v>
      </c>
      <c r="F153" s="1721" t="s">
        <v>1646</v>
      </c>
      <c r="G153" s="1721" t="s">
        <v>1646</v>
      </c>
      <c r="H153" s="1722">
        <v>190000000</v>
      </c>
      <c r="I153" s="1722">
        <v>0</v>
      </c>
      <c r="J153" s="1722">
        <v>0</v>
      </c>
      <c r="K153" s="1722">
        <v>190000000</v>
      </c>
      <c r="L153" s="1722">
        <v>190000000</v>
      </c>
      <c r="M153" s="1722">
        <v>0</v>
      </c>
      <c r="N153" s="1722">
        <v>0</v>
      </c>
      <c r="O153" s="1722">
        <v>190000000</v>
      </c>
    </row>
    <row r="154" spans="1:15" customFormat="1" ht="26.25" x14ac:dyDescent="0.25">
      <c r="A154" s="1721" t="s">
        <v>1646</v>
      </c>
      <c r="B154" s="1754" t="s">
        <v>1937</v>
      </c>
      <c r="C154" s="1721" t="s">
        <v>1592</v>
      </c>
      <c r="D154" s="1721" t="s">
        <v>1642</v>
      </c>
      <c r="E154" s="1721" t="s">
        <v>1650</v>
      </c>
      <c r="F154" s="1721" t="s">
        <v>1646</v>
      </c>
      <c r="G154" s="1721" t="s">
        <v>1646</v>
      </c>
      <c r="H154" s="1722">
        <v>190000000</v>
      </c>
      <c r="I154" s="1722">
        <v>0</v>
      </c>
      <c r="J154" s="1722">
        <v>0</v>
      </c>
      <c r="K154" s="1722">
        <v>190000000</v>
      </c>
      <c r="L154" s="1722">
        <v>190000000</v>
      </c>
      <c r="M154" s="1722">
        <v>0</v>
      </c>
      <c r="N154" s="1722">
        <v>0</v>
      </c>
      <c r="O154" s="1722">
        <v>190000000</v>
      </c>
    </row>
    <row r="155" spans="1:15" customFormat="1" x14ac:dyDescent="0.25">
      <c r="A155" s="1721" t="s">
        <v>1646</v>
      </c>
      <c r="B155" s="1754" t="s">
        <v>1646</v>
      </c>
      <c r="C155" s="1721" t="s">
        <v>1646</v>
      </c>
      <c r="D155" s="1721" t="s">
        <v>1646</v>
      </c>
      <c r="E155" s="1721" t="s">
        <v>1646</v>
      </c>
      <c r="F155" s="1721" t="s">
        <v>1660</v>
      </c>
      <c r="G155" s="1721" t="s">
        <v>1646</v>
      </c>
      <c r="H155" s="1722" t="s">
        <v>1646</v>
      </c>
      <c r="I155" s="1722" t="s">
        <v>1646</v>
      </c>
      <c r="J155" s="1722" t="s">
        <v>1646</v>
      </c>
      <c r="K155" s="1722" t="s">
        <v>1646</v>
      </c>
      <c r="L155" s="1722">
        <v>152000000</v>
      </c>
      <c r="M155" s="1722">
        <v>0</v>
      </c>
      <c r="N155" s="1722">
        <v>0</v>
      </c>
      <c r="O155" s="1722">
        <v>152000000</v>
      </c>
    </row>
    <row r="156" spans="1:15" customFormat="1" x14ac:dyDescent="0.25">
      <c r="A156" s="1721" t="s">
        <v>1646</v>
      </c>
      <c r="B156" s="1754" t="s">
        <v>1646</v>
      </c>
      <c r="C156" s="1721" t="s">
        <v>1646</v>
      </c>
      <c r="D156" s="1721" t="s">
        <v>1646</v>
      </c>
      <c r="E156" s="1721" t="s">
        <v>1646</v>
      </c>
      <c r="F156" s="1721" t="s">
        <v>1660</v>
      </c>
      <c r="G156" s="1721" t="s">
        <v>1661</v>
      </c>
      <c r="H156" s="1722" t="s">
        <v>1646</v>
      </c>
      <c r="I156" s="1722" t="s">
        <v>1646</v>
      </c>
      <c r="J156" s="1722" t="s">
        <v>1646</v>
      </c>
      <c r="K156" s="1722" t="s">
        <v>1646</v>
      </c>
      <c r="L156" s="1722">
        <v>11200000</v>
      </c>
      <c r="M156" s="1722">
        <v>0</v>
      </c>
      <c r="N156" s="1722">
        <v>0</v>
      </c>
      <c r="O156" s="1722">
        <v>11200000</v>
      </c>
    </row>
    <row r="157" spans="1:15" customFormat="1" x14ac:dyDescent="0.25">
      <c r="A157" s="1721" t="s">
        <v>1646</v>
      </c>
      <c r="B157" s="1754" t="s">
        <v>1646</v>
      </c>
      <c r="C157" s="1721" t="s">
        <v>1646</v>
      </c>
      <c r="D157" s="1721" t="s">
        <v>1646</v>
      </c>
      <c r="E157" s="1721" t="s">
        <v>1646</v>
      </c>
      <c r="F157" s="1721" t="s">
        <v>1660</v>
      </c>
      <c r="G157" s="1721" t="s">
        <v>1662</v>
      </c>
      <c r="H157" s="1722" t="s">
        <v>1646</v>
      </c>
      <c r="I157" s="1722" t="s">
        <v>1646</v>
      </c>
      <c r="J157" s="1722" t="s">
        <v>1646</v>
      </c>
      <c r="K157" s="1722" t="s">
        <v>1646</v>
      </c>
      <c r="L157" s="1722">
        <v>72000000</v>
      </c>
      <c r="M157" s="1722">
        <v>0</v>
      </c>
      <c r="N157" s="1722">
        <v>0</v>
      </c>
      <c r="O157" s="1722">
        <v>72000000</v>
      </c>
    </row>
    <row r="158" spans="1:15" customFormat="1" x14ac:dyDescent="0.25">
      <c r="A158" s="1721" t="s">
        <v>1646</v>
      </c>
      <c r="B158" s="1754" t="s">
        <v>1646</v>
      </c>
      <c r="C158" s="1721" t="s">
        <v>1646</v>
      </c>
      <c r="D158" s="1721" t="s">
        <v>1646</v>
      </c>
      <c r="E158" s="1721" t="s">
        <v>1646</v>
      </c>
      <c r="F158" s="1721" t="s">
        <v>1660</v>
      </c>
      <c r="G158" s="1721" t="s">
        <v>1843</v>
      </c>
      <c r="H158" s="1722" t="s">
        <v>1646</v>
      </c>
      <c r="I158" s="1722" t="s">
        <v>1646</v>
      </c>
      <c r="J158" s="1722" t="s">
        <v>1646</v>
      </c>
      <c r="K158" s="1722" t="s">
        <v>1646</v>
      </c>
      <c r="L158" s="1722">
        <v>68800000</v>
      </c>
      <c r="M158" s="1722">
        <v>0</v>
      </c>
      <c r="N158" s="1722">
        <v>0</v>
      </c>
      <c r="O158" s="1722">
        <v>68800000</v>
      </c>
    </row>
    <row r="159" spans="1:15" customFormat="1" x14ac:dyDescent="0.25">
      <c r="A159" s="1721" t="s">
        <v>1646</v>
      </c>
      <c r="B159" s="1754" t="s">
        <v>1646</v>
      </c>
      <c r="C159" s="1721" t="s">
        <v>1646</v>
      </c>
      <c r="D159" s="1721" t="s">
        <v>1646</v>
      </c>
      <c r="E159" s="1721" t="s">
        <v>1646</v>
      </c>
      <c r="F159" s="1721" t="s">
        <v>1654</v>
      </c>
      <c r="G159" s="1721" t="s">
        <v>1646</v>
      </c>
      <c r="H159" s="1722" t="s">
        <v>1646</v>
      </c>
      <c r="I159" s="1722" t="s">
        <v>1646</v>
      </c>
      <c r="J159" s="1722" t="s">
        <v>1646</v>
      </c>
      <c r="K159" s="1722" t="s">
        <v>1646</v>
      </c>
      <c r="L159" s="1722">
        <v>38000000</v>
      </c>
      <c r="M159" s="1722">
        <v>0</v>
      </c>
      <c r="N159" s="1722">
        <v>0</v>
      </c>
      <c r="O159" s="1722">
        <v>38000000</v>
      </c>
    </row>
    <row r="160" spans="1:15" customFormat="1" x14ac:dyDescent="0.25">
      <c r="A160" s="1721" t="s">
        <v>1646</v>
      </c>
      <c r="B160" s="1754" t="s">
        <v>1646</v>
      </c>
      <c r="C160" s="1721" t="s">
        <v>1646</v>
      </c>
      <c r="D160" s="1721" t="s">
        <v>1646</v>
      </c>
      <c r="E160" s="1721" t="s">
        <v>1646</v>
      </c>
      <c r="F160" s="1721" t="s">
        <v>1654</v>
      </c>
      <c r="G160" s="1721" t="s">
        <v>1663</v>
      </c>
      <c r="H160" s="1722" t="s">
        <v>1646</v>
      </c>
      <c r="I160" s="1722" t="s">
        <v>1646</v>
      </c>
      <c r="J160" s="1722" t="s">
        <v>1646</v>
      </c>
      <c r="K160" s="1722" t="s">
        <v>1646</v>
      </c>
      <c r="L160" s="1722">
        <v>38000000</v>
      </c>
      <c r="M160" s="1722">
        <v>0</v>
      </c>
      <c r="N160" s="1722">
        <v>0</v>
      </c>
      <c r="O160" s="1722">
        <v>38000000</v>
      </c>
    </row>
    <row r="161" spans="1:17" ht="39" x14ac:dyDescent="0.25">
      <c r="A161" s="1721" t="s">
        <v>1646</v>
      </c>
      <c r="B161" s="1754" t="s">
        <v>1961</v>
      </c>
      <c r="C161" s="1721" t="s">
        <v>1646</v>
      </c>
      <c r="D161" s="1721" t="s">
        <v>1646</v>
      </c>
      <c r="E161" s="1721" t="s">
        <v>1646</v>
      </c>
      <c r="F161" s="1721" t="s">
        <v>1646</v>
      </c>
      <c r="G161" s="1721" t="s">
        <v>1646</v>
      </c>
      <c r="H161" s="1722">
        <v>730500</v>
      </c>
      <c r="I161" s="1722">
        <v>0</v>
      </c>
      <c r="J161" s="1722">
        <v>0</v>
      </c>
      <c r="K161" s="1722">
        <v>730500</v>
      </c>
      <c r="L161" s="1722">
        <v>730500</v>
      </c>
      <c r="M161" s="1722">
        <v>0</v>
      </c>
      <c r="N161" s="1722">
        <v>0</v>
      </c>
      <c r="O161" s="1722">
        <v>730500</v>
      </c>
      <c r="Q161"/>
    </row>
    <row r="162" spans="1:17" ht="26.25" x14ac:dyDescent="0.25">
      <c r="A162" s="1721" t="s">
        <v>1646</v>
      </c>
      <c r="B162" s="1754" t="s">
        <v>1937</v>
      </c>
      <c r="C162" s="1721" t="s">
        <v>1592</v>
      </c>
      <c r="D162" s="1721" t="s">
        <v>1593</v>
      </c>
      <c r="E162" s="1721" t="s">
        <v>1691</v>
      </c>
      <c r="F162" s="1721" t="s">
        <v>1646</v>
      </c>
      <c r="G162" s="1721" t="s">
        <v>1646</v>
      </c>
      <c r="H162" s="1722">
        <v>730500</v>
      </c>
      <c r="I162" s="1722">
        <v>0</v>
      </c>
      <c r="J162" s="1722">
        <v>0</v>
      </c>
      <c r="K162" s="1722">
        <v>730500</v>
      </c>
      <c r="L162" s="1722">
        <v>730500</v>
      </c>
      <c r="M162" s="1722">
        <v>0</v>
      </c>
      <c r="N162" s="1722">
        <v>0</v>
      </c>
      <c r="O162" s="1722">
        <v>730500</v>
      </c>
      <c r="Q162"/>
    </row>
    <row r="163" spans="1:17" x14ac:dyDescent="0.25">
      <c r="A163" s="1721" t="s">
        <v>1646</v>
      </c>
      <c r="B163" s="1754" t="s">
        <v>1646</v>
      </c>
      <c r="C163" s="1721" t="s">
        <v>1646</v>
      </c>
      <c r="D163" s="1721" t="s">
        <v>1646</v>
      </c>
      <c r="E163" s="1721" t="s">
        <v>1646</v>
      </c>
      <c r="F163" s="1721" t="s">
        <v>1692</v>
      </c>
      <c r="G163" s="1721" t="s">
        <v>1646</v>
      </c>
      <c r="H163" s="1722" t="s">
        <v>1646</v>
      </c>
      <c r="I163" s="1722" t="s">
        <v>1646</v>
      </c>
      <c r="J163" s="1722" t="s">
        <v>1646</v>
      </c>
      <c r="K163" s="1722" t="s">
        <v>1646</v>
      </c>
      <c r="L163" s="1722">
        <v>730500</v>
      </c>
      <c r="M163" s="1722">
        <v>0</v>
      </c>
      <c r="N163" s="1722">
        <v>0</v>
      </c>
      <c r="O163" s="1722">
        <v>730500</v>
      </c>
      <c r="Q163"/>
    </row>
    <row r="164" spans="1:17" x14ac:dyDescent="0.25">
      <c r="A164" s="1721" t="s">
        <v>1646</v>
      </c>
      <c r="B164" s="1754" t="s">
        <v>1646</v>
      </c>
      <c r="C164" s="1721" t="s">
        <v>1646</v>
      </c>
      <c r="D164" s="1721" t="s">
        <v>1646</v>
      </c>
      <c r="E164" s="1721" t="s">
        <v>1646</v>
      </c>
      <c r="F164" s="1721" t="s">
        <v>1692</v>
      </c>
      <c r="G164" s="1721" t="s">
        <v>1693</v>
      </c>
      <c r="H164" s="1722" t="s">
        <v>1646</v>
      </c>
      <c r="I164" s="1722" t="s">
        <v>1646</v>
      </c>
      <c r="J164" s="1722" t="s">
        <v>1646</v>
      </c>
      <c r="K164" s="1722" t="s">
        <v>1646</v>
      </c>
      <c r="L164" s="1722">
        <v>730500</v>
      </c>
      <c r="M164" s="1722">
        <v>0</v>
      </c>
      <c r="N164" s="1722">
        <v>0</v>
      </c>
      <c r="O164" s="1722">
        <v>730500</v>
      </c>
      <c r="Q164"/>
    </row>
    <row r="165" spans="1:17" ht="51.75" x14ac:dyDescent="0.25">
      <c r="A165" s="1721" t="s">
        <v>1646</v>
      </c>
      <c r="B165" s="1754" t="s">
        <v>1962</v>
      </c>
      <c r="C165" s="1721" t="s">
        <v>1646</v>
      </c>
      <c r="D165" s="1721" t="s">
        <v>1646</v>
      </c>
      <c r="E165" s="1721" t="s">
        <v>1646</v>
      </c>
      <c r="F165" s="1721" t="s">
        <v>1646</v>
      </c>
      <c r="G165" s="1721" t="s">
        <v>1646</v>
      </c>
      <c r="H165" s="1722">
        <v>2000000</v>
      </c>
      <c r="I165" s="1722">
        <v>0</v>
      </c>
      <c r="J165" s="1722">
        <v>0</v>
      </c>
      <c r="K165" s="1722">
        <v>2000000</v>
      </c>
      <c r="L165" s="1722">
        <v>2000000</v>
      </c>
      <c r="M165" s="1722">
        <v>0</v>
      </c>
      <c r="N165" s="1722">
        <v>0</v>
      </c>
      <c r="O165" s="1722">
        <v>2000000</v>
      </c>
      <c r="Q165"/>
    </row>
    <row r="166" spans="1:17" ht="26.25" x14ac:dyDescent="0.25">
      <c r="A166" s="1721" t="s">
        <v>1646</v>
      </c>
      <c r="B166" s="1754" t="s">
        <v>1934</v>
      </c>
      <c r="C166" s="1721" t="s">
        <v>1592</v>
      </c>
      <c r="D166" s="1721" t="s">
        <v>1620</v>
      </c>
      <c r="E166" s="1721" t="s">
        <v>1629</v>
      </c>
      <c r="F166" s="1721" t="s">
        <v>1646</v>
      </c>
      <c r="G166" s="1721" t="s">
        <v>1646</v>
      </c>
      <c r="H166" s="1722">
        <v>2000000</v>
      </c>
      <c r="I166" s="1722">
        <v>0</v>
      </c>
      <c r="J166" s="1722">
        <v>0</v>
      </c>
      <c r="K166" s="1722">
        <v>2000000</v>
      </c>
      <c r="L166" s="1722">
        <v>2000000</v>
      </c>
      <c r="M166" s="1722">
        <v>0</v>
      </c>
      <c r="N166" s="1722">
        <v>0</v>
      </c>
      <c r="O166" s="1722">
        <v>2000000</v>
      </c>
      <c r="Q166"/>
    </row>
    <row r="167" spans="1:17" x14ac:dyDescent="0.25">
      <c r="A167" s="1721" t="s">
        <v>1646</v>
      </c>
      <c r="B167" s="1754" t="s">
        <v>1646</v>
      </c>
      <c r="C167" s="1721" t="s">
        <v>1646</v>
      </c>
      <c r="D167" s="1721" t="s">
        <v>1646</v>
      </c>
      <c r="E167" s="1721" t="s">
        <v>1646</v>
      </c>
      <c r="F167" s="1721" t="s">
        <v>1615</v>
      </c>
      <c r="G167" s="1721" t="s">
        <v>1646</v>
      </c>
      <c r="H167" s="1722" t="s">
        <v>1646</v>
      </c>
      <c r="I167" s="1722" t="s">
        <v>1646</v>
      </c>
      <c r="J167" s="1722" t="s">
        <v>1646</v>
      </c>
      <c r="K167" s="1722" t="s">
        <v>1646</v>
      </c>
      <c r="L167" s="1722">
        <v>2000000</v>
      </c>
      <c r="M167" s="1722">
        <v>0</v>
      </c>
      <c r="N167" s="1722">
        <v>0</v>
      </c>
      <c r="O167" s="1722">
        <v>2000000</v>
      </c>
      <c r="Q167"/>
    </row>
    <row r="168" spans="1:17" x14ac:dyDescent="0.25">
      <c r="A168" s="1721" t="s">
        <v>1646</v>
      </c>
      <c r="B168" s="1754" t="s">
        <v>1646</v>
      </c>
      <c r="C168" s="1721" t="s">
        <v>1646</v>
      </c>
      <c r="D168" s="1721" t="s">
        <v>1646</v>
      </c>
      <c r="E168" s="1721" t="s">
        <v>1646</v>
      </c>
      <c r="F168" s="1721" t="s">
        <v>1615</v>
      </c>
      <c r="G168" s="1721" t="s">
        <v>1616</v>
      </c>
      <c r="H168" s="1722" t="s">
        <v>1646</v>
      </c>
      <c r="I168" s="1722" t="s">
        <v>1646</v>
      </c>
      <c r="J168" s="1722" t="s">
        <v>1646</v>
      </c>
      <c r="K168" s="1722" t="s">
        <v>1646</v>
      </c>
      <c r="L168" s="1722">
        <v>2000000</v>
      </c>
      <c r="M168" s="1722">
        <v>0</v>
      </c>
      <c r="N168" s="1722">
        <v>0</v>
      </c>
      <c r="O168" s="1722">
        <v>2000000</v>
      </c>
      <c r="Q168"/>
    </row>
    <row r="169" spans="1:17" ht="64.5" x14ac:dyDescent="0.25">
      <c r="A169" s="1721" t="s">
        <v>1646</v>
      </c>
      <c r="B169" s="1754" t="s">
        <v>1963</v>
      </c>
      <c r="C169" s="1721" t="s">
        <v>1646</v>
      </c>
      <c r="D169" s="1721" t="s">
        <v>1646</v>
      </c>
      <c r="E169" s="1721" t="s">
        <v>1646</v>
      </c>
      <c r="F169" s="1721" t="s">
        <v>1646</v>
      </c>
      <c r="G169" s="1721" t="s">
        <v>1646</v>
      </c>
      <c r="H169" s="1722">
        <v>10000000</v>
      </c>
      <c r="I169" s="1722">
        <v>0</v>
      </c>
      <c r="J169" s="1722">
        <v>0</v>
      </c>
      <c r="K169" s="1722">
        <v>10000000</v>
      </c>
      <c r="L169" s="1722">
        <v>10000000</v>
      </c>
      <c r="M169" s="1722">
        <v>0</v>
      </c>
      <c r="N169" s="1722">
        <v>0</v>
      </c>
      <c r="O169" s="1722">
        <v>10000000</v>
      </c>
      <c r="Q169"/>
    </row>
    <row r="170" spans="1:17" ht="26.25" x14ac:dyDescent="0.25">
      <c r="A170" s="1721" t="s">
        <v>1646</v>
      </c>
      <c r="B170" s="1754" t="s">
        <v>1937</v>
      </c>
      <c r="C170" s="1721" t="s">
        <v>1592</v>
      </c>
      <c r="D170" s="1721" t="s">
        <v>1642</v>
      </c>
      <c r="E170" s="1721" t="s">
        <v>1650</v>
      </c>
      <c r="F170" s="1721" t="s">
        <v>1646</v>
      </c>
      <c r="G170" s="1721" t="s">
        <v>1646</v>
      </c>
      <c r="H170" s="1722">
        <v>10000000</v>
      </c>
      <c r="I170" s="1722">
        <v>0</v>
      </c>
      <c r="J170" s="1722">
        <v>0</v>
      </c>
      <c r="K170" s="1722">
        <v>10000000</v>
      </c>
      <c r="L170" s="1722">
        <v>10000000</v>
      </c>
      <c r="M170" s="1722">
        <v>0</v>
      </c>
      <c r="N170" s="1722">
        <v>0</v>
      </c>
      <c r="O170" s="1722">
        <v>10000000</v>
      </c>
      <c r="Q170"/>
    </row>
    <row r="171" spans="1:17" x14ac:dyDescent="0.25">
      <c r="A171" s="1721" t="s">
        <v>1646</v>
      </c>
      <c r="B171" s="1754" t="s">
        <v>1646</v>
      </c>
      <c r="C171" s="1721" t="s">
        <v>1646</v>
      </c>
      <c r="D171" s="1721" t="s">
        <v>1646</v>
      </c>
      <c r="E171" s="1721" t="s">
        <v>1646</v>
      </c>
      <c r="F171" s="1721" t="s">
        <v>1654</v>
      </c>
      <c r="G171" s="1721" t="s">
        <v>1646</v>
      </c>
      <c r="H171" s="1722" t="s">
        <v>1646</v>
      </c>
      <c r="I171" s="1722" t="s">
        <v>1646</v>
      </c>
      <c r="J171" s="1722" t="s">
        <v>1646</v>
      </c>
      <c r="K171" s="1722" t="s">
        <v>1646</v>
      </c>
      <c r="L171" s="1722">
        <v>10000000</v>
      </c>
      <c r="M171" s="1722">
        <v>0</v>
      </c>
      <c r="N171" s="1722">
        <v>0</v>
      </c>
      <c r="O171" s="1722">
        <v>10000000</v>
      </c>
      <c r="Q171"/>
    </row>
    <row r="172" spans="1:17" x14ac:dyDescent="0.25">
      <c r="A172" s="1721" t="s">
        <v>1646</v>
      </c>
      <c r="B172" s="1754" t="s">
        <v>1646</v>
      </c>
      <c r="C172" s="1721" t="s">
        <v>1646</v>
      </c>
      <c r="D172" s="1721" t="s">
        <v>1646</v>
      </c>
      <c r="E172" s="1721" t="s">
        <v>1646</v>
      </c>
      <c r="F172" s="1721" t="s">
        <v>1654</v>
      </c>
      <c r="G172" s="1721" t="s">
        <v>1663</v>
      </c>
      <c r="H172" s="1722" t="s">
        <v>1646</v>
      </c>
      <c r="I172" s="1722" t="s">
        <v>1646</v>
      </c>
      <c r="J172" s="1722" t="s">
        <v>1646</v>
      </c>
      <c r="K172" s="1722" t="s">
        <v>1646</v>
      </c>
      <c r="L172" s="1722">
        <v>10000000</v>
      </c>
      <c r="M172" s="1722">
        <v>0</v>
      </c>
      <c r="N172" s="1722">
        <v>0</v>
      </c>
      <c r="O172" s="1722">
        <v>10000000</v>
      </c>
      <c r="Q172"/>
    </row>
    <row r="173" spans="1:17" s="1774" customFormat="1" ht="26.25" x14ac:dyDescent="0.25">
      <c r="A173" s="1770" t="s">
        <v>1704</v>
      </c>
      <c r="B173" s="1771" t="s">
        <v>1964</v>
      </c>
      <c r="C173" s="1772" t="s">
        <v>1646</v>
      </c>
      <c r="D173" s="1772" t="s">
        <v>1646</v>
      </c>
      <c r="E173" s="1772" t="s">
        <v>1646</v>
      </c>
      <c r="F173" s="1772" t="s">
        <v>1646</v>
      </c>
      <c r="G173" s="1772" t="s">
        <v>1646</v>
      </c>
      <c r="H173" s="1773">
        <v>779000000</v>
      </c>
      <c r="I173" s="1773">
        <v>0</v>
      </c>
      <c r="J173" s="1773">
        <v>452000000</v>
      </c>
      <c r="K173" s="1773">
        <v>327000000</v>
      </c>
      <c r="L173" s="1773">
        <v>603189297</v>
      </c>
      <c r="M173" s="1773">
        <v>0</v>
      </c>
      <c r="N173" s="1773">
        <v>0</v>
      </c>
      <c r="O173" s="1773">
        <v>603189297</v>
      </c>
      <c r="Q173" s="1775"/>
    </row>
    <row r="174" spans="1:17" s="1774" customFormat="1" ht="26.25" x14ac:dyDescent="0.25">
      <c r="A174" s="1772" t="s">
        <v>1646</v>
      </c>
      <c r="B174" s="1776" t="s">
        <v>1965</v>
      </c>
      <c r="C174" s="1772" t="s">
        <v>1646</v>
      </c>
      <c r="D174" s="1772" t="s">
        <v>1646</v>
      </c>
      <c r="E174" s="1772" t="s">
        <v>1646</v>
      </c>
      <c r="F174" s="1772" t="s">
        <v>1646</v>
      </c>
      <c r="G174" s="1772" t="s">
        <v>1646</v>
      </c>
      <c r="H174" s="1777">
        <v>779000000</v>
      </c>
      <c r="I174" s="1777">
        <v>0</v>
      </c>
      <c r="J174" s="1777">
        <v>452000000</v>
      </c>
      <c r="K174" s="1777">
        <v>327000000</v>
      </c>
      <c r="L174" s="1777">
        <v>603189297</v>
      </c>
      <c r="M174" s="1777">
        <v>0</v>
      </c>
      <c r="N174" s="1777">
        <v>0</v>
      </c>
      <c r="O174" s="1777">
        <v>603189297</v>
      </c>
      <c r="Q174" s="1775"/>
    </row>
    <row r="175" spans="1:17" s="1774" customFormat="1" x14ac:dyDescent="0.25">
      <c r="A175" s="1772" t="s">
        <v>1646</v>
      </c>
      <c r="B175" s="1776" t="s">
        <v>1935</v>
      </c>
      <c r="C175" s="1772" t="s">
        <v>1592</v>
      </c>
      <c r="D175" s="1772" t="s">
        <v>1600</v>
      </c>
      <c r="E175" s="1772" t="s">
        <v>1636</v>
      </c>
      <c r="F175" s="1772" t="s">
        <v>1646</v>
      </c>
      <c r="G175" s="1772" t="s">
        <v>1646</v>
      </c>
      <c r="H175" s="1777">
        <v>452000000</v>
      </c>
      <c r="I175" s="1777">
        <v>0</v>
      </c>
      <c r="J175" s="1777">
        <v>452000000</v>
      </c>
      <c r="K175" s="1777">
        <v>0</v>
      </c>
      <c r="L175" s="1777">
        <v>276189297</v>
      </c>
      <c r="M175" s="1777">
        <v>0</v>
      </c>
      <c r="N175" s="1777">
        <v>0</v>
      </c>
      <c r="O175" s="1777">
        <v>276189297</v>
      </c>
      <c r="Q175" s="1775"/>
    </row>
    <row r="176" spans="1:17" s="1774" customFormat="1" x14ac:dyDescent="0.25">
      <c r="A176" s="1772" t="s">
        <v>1646</v>
      </c>
      <c r="B176" s="1776" t="s">
        <v>1646</v>
      </c>
      <c r="C176" s="1772" t="s">
        <v>1646</v>
      </c>
      <c r="D176" s="1772" t="s">
        <v>1646</v>
      </c>
      <c r="E176" s="1772" t="s">
        <v>1646</v>
      </c>
      <c r="F176" s="1772" t="s">
        <v>1654</v>
      </c>
      <c r="G176" s="1772" t="s">
        <v>1646</v>
      </c>
      <c r="H176" s="1777" t="s">
        <v>1646</v>
      </c>
      <c r="I176" s="1777" t="s">
        <v>1646</v>
      </c>
      <c r="J176" s="1777" t="s">
        <v>1646</v>
      </c>
      <c r="K176" s="1777" t="s">
        <v>1646</v>
      </c>
      <c r="L176" s="1777">
        <v>251808150</v>
      </c>
      <c r="M176" s="1777">
        <v>0</v>
      </c>
      <c r="N176" s="1777">
        <v>0</v>
      </c>
      <c r="O176" s="1777">
        <v>251808150</v>
      </c>
      <c r="Q176" s="1775"/>
    </row>
    <row r="177" spans="1:17" s="1774" customFormat="1" x14ac:dyDescent="0.25">
      <c r="A177" s="1772" t="s">
        <v>1646</v>
      </c>
      <c r="B177" s="1776" t="s">
        <v>1646</v>
      </c>
      <c r="C177" s="1772" t="s">
        <v>1646</v>
      </c>
      <c r="D177" s="1772" t="s">
        <v>1646</v>
      </c>
      <c r="E177" s="1772" t="s">
        <v>1646</v>
      </c>
      <c r="F177" s="1772" t="s">
        <v>1654</v>
      </c>
      <c r="G177" s="1772" t="s">
        <v>1655</v>
      </c>
      <c r="H177" s="1777" t="s">
        <v>1646</v>
      </c>
      <c r="I177" s="1777" t="s">
        <v>1646</v>
      </c>
      <c r="J177" s="1777" t="s">
        <v>1646</v>
      </c>
      <c r="K177" s="1777" t="s">
        <v>1646</v>
      </c>
      <c r="L177" s="1777">
        <v>251808150</v>
      </c>
      <c r="M177" s="1777">
        <v>0</v>
      </c>
      <c r="N177" s="1777">
        <v>0</v>
      </c>
      <c r="O177" s="1777">
        <v>251808150</v>
      </c>
      <c r="Q177" s="1775"/>
    </row>
    <row r="178" spans="1:17" s="1774" customFormat="1" x14ac:dyDescent="0.25">
      <c r="A178" s="1772" t="s">
        <v>1646</v>
      </c>
      <c r="B178" s="1776" t="s">
        <v>1646</v>
      </c>
      <c r="C178" s="1772" t="s">
        <v>1646</v>
      </c>
      <c r="D178" s="1772" t="s">
        <v>1646</v>
      </c>
      <c r="E178" s="1772" t="s">
        <v>1646</v>
      </c>
      <c r="F178" s="1772" t="s">
        <v>1618</v>
      </c>
      <c r="G178" s="1772" t="s">
        <v>1646</v>
      </c>
      <c r="H178" s="1777" t="s">
        <v>1646</v>
      </c>
      <c r="I178" s="1777" t="s">
        <v>1646</v>
      </c>
      <c r="J178" s="1777" t="s">
        <v>1646</v>
      </c>
      <c r="K178" s="1777" t="s">
        <v>1646</v>
      </c>
      <c r="L178" s="1777">
        <v>24381147</v>
      </c>
      <c r="M178" s="1777">
        <v>0</v>
      </c>
      <c r="N178" s="1777">
        <v>0</v>
      </c>
      <c r="O178" s="1777">
        <v>24381147</v>
      </c>
      <c r="Q178" s="1775"/>
    </row>
    <row r="179" spans="1:17" s="1774" customFormat="1" x14ac:dyDescent="0.25">
      <c r="A179" s="1772" t="s">
        <v>1646</v>
      </c>
      <c r="B179" s="1776" t="s">
        <v>1646</v>
      </c>
      <c r="C179" s="1772" t="s">
        <v>1646</v>
      </c>
      <c r="D179" s="1772" t="s">
        <v>1646</v>
      </c>
      <c r="E179" s="1772" t="s">
        <v>1646</v>
      </c>
      <c r="F179" s="1772" t="s">
        <v>1618</v>
      </c>
      <c r="G179" s="1772" t="s">
        <v>1622</v>
      </c>
      <c r="H179" s="1777" t="s">
        <v>1646</v>
      </c>
      <c r="I179" s="1777" t="s">
        <v>1646</v>
      </c>
      <c r="J179" s="1777" t="s">
        <v>1646</v>
      </c>
      <c r="K179" s="1777" t="s">
        <v>1646</v>
      </c>
      <c r="L179" s="1777">
        <v>24381147</v>
      </c>
      <c r="M179" s="1777">
        <v>0</v>
      </c>
      <c r="N179" s="1777">
        <v>0</v>
      </c>
      <c r="O179" s="1777">
        <v>24381147</v>
      </c>
      <c r="Q179" s="1775"/>
    </row>
    <row r="180" spans="1:17" s="1774" customFormat="1" ht="26.25" x14ac:dyDescent="0.25">
      <c r="A180" s="1772" t="s">
        <v>1646</v>
      </c>
      <c r="B180" s="1776" t="s">
        <v>1966</v>
      </c>
      <c r="C180" s="1772" t="s">
        <v>1592</v>
      </c>
      <c r="D180" s="1772" t="s">
        <v>1600</v>
      </c>
      <c r="E180" s="1772" t="s">
        <v>1603</v>
      </c>
      <c r="F180" s="1772" t="s">
        <v>1646</v>
      </c>
      <c r="G180" s="1772" t="s">
        <v>1646</v>
      </c>
      <c r="H180" s="1777">
        <v>327000000</v>
      </c>
      <c r="I180" s="1777">
        <v>0</v>
      </c>
      <c r="J180" s="1777">
        <v>0</v>
      </c>
      <c r="K180" s="1777">
        <v>327000000</v>
      </c>
      <c r="L180" s="1777">
        <v>327000000</v>
      </c>
      <c r="M180" s="1777">
        <v>0</v>
      </c>
      <c r="N180" s="1777">
        <v>0</v>
      </c>
      <c r="O180" s="1777">
        <v>327000000</v>
      </c>
      <c r="Q180" s="1775"/>
    </row>
    <row r="181" spans="1:17" s="1774" customFormat="1" x14ac:dyDescent="0.25">
      <c r="A181" s="1772" t="s">
        <v>1646</v>
      </c>
      <c r="B181" s="1776" t="s">
        <v>1646</v>
      </c>
      <c r="C181" s="1772" t="s">
        <v>1646</v>
      </c>
      <c r="D181" s="1772" t="s">
        <v>1646</v>
      </c>
      <c r="E181" s="1772" t="s">
        <v>1646</v>
      </c>
      <c r="F181" s="1772" t="s">
        <v>1602</v>
      </c>
      <c r="G181" s="1772" t="s">
        <v>1646</v>
      </c>
      <c r="H181" s="1777" t="s">
        <v>1646</v>
      </c>
      <c r="I181" s="1777" t="s">
        <v>1646</v>
      </c>
      <c r="J181" s="1777" t="s">
        <v>1646</v>
      </c>
      <c r="K181" s="1777" t="s">
        <v>1646</v>
      </c>
      <c r="L181" s="1777">
        <v>327000000</v>
      </c>
      <c r="M181" s="1777">
        <v>0</v>
      </c>
      <c r="N181" s="1777">
        <v>0</v>
      </c>
      <c r="O181" s="1777">
        <v>327000000</v>
      </c>
      <c r="Q181" s="1775"/>
    </row>
    <row r="182" spans="1:17" s="1774" customFormat="1" x14ac:dyDescent="0.25">
      <c r="A182" s="1772" t="s">
        <v>1646</v>
      </c>
      <c r="B182" s="1776" t="s">
        <v>1646</v>
      </c>
      <c r="C182" s="1772" t="s">
        <v>1646</v>
      </c>
      <c r="D182" s="1772" t="s">
        <v>1646</v>
      </c>
      <c r="E182" s="1772" t="s">
        <v>1646</v>
      </c>
      <c r="F182" s="1772" t="s">
        <v>1602</v>
      </c>
      <c r="G182" s="1772" t="s">
        <v>1637</v>
      </c>
      <c r="H182" s="1777" t="s">
        <v>1646</v>
      </c>
      <c r="I182" s="1777" t="s">
        <v>1646</v>
      </c>
      <c r="J182" s="1777" t="s">
        <v>1646</v>
      </c>
      <c r="K182" s="1777" t="s">
        <v>1646</v>
      </c>
      <c r="L182" s="1777">
        <v>327000000</v>
      </c>
      <c r="M182" s="1777">
        <v>0</v>
      </c>
      <c r="N182" s="1777">
        <v>0</v>
      </c>
      <c r="O182" s="1777">
        <v>327000000</v>
      </c>
      <c r="Q182" s="1775"/>
    </row>
    <row r="183" spans="1:17" s="1774" customFormat="1" ht="26.25" x14ac:dyDescent="0.25">
      <c r="A183" s="1770" t="s">
        <v>1709</v>
      </c>
      <c r="B183" s="1771" t="s">
        <v>1967</v>
      </c>
      <c r="C183" s="1772" t="s">
        <v>1646</v>
      </c>
      <c r="D183" s="1772" t="s">
        <v>1646</v>
      </c>
      <c r="E183" s="1772" t="s">
        <v>1646</v>
      </c>
      <c r="F183" s="1772" t="s">
        <v>1646</v>
      </c>
      <c r="G183" s="1772" t="s">
        <v>1646</v>
      </c>
      <c r="H183" s="1773">
        <v>140000000</v>
      </c>
      <c r="I183" s="1773">
        <v>0</v>
      </c>
      <c r="J183" s="1773">
        <v>0</v>
      </c>
      <c r="K183" s="1773">
        <v>140000000</v>
      </c>
      <c r="L183" s="1773">
        <v>139090000</v>
      </c>
      <c r="M183" s="1773">
        <v>0</v>
      </c>
      <c r="N183" s="1773">
        <v>0</v>
      </c>
      <c r="O183" s="1773">
        <v>139090000</v>
      </c>
      <c r="Q183" s="1775"/>
    </row>
    <row r="184" spans="1:17" s="1774" customFormat="1" ht="26.25" x14ac:dyDescent="0.25">
      <c r="A184" s="1772" t="s">
        <v>1646</v>
      </c>
      <c r="B184" s="1776" t="s">
        <v>1968</v>
      </c>
      <c r="C184" s="1772" t="s">
        <v>1646</v>
      </c>
      <c r="D184" s="1772" t="s">
        <v>1646</v>
      </c>
      <c r="E184" s="1772" t="s">
        <v>1646</v>
      </c>
      <c r="F184" s="1772" t="s">
        <v>1646</v>
      </c>
      <c r="G184" s="1772" t="s">
        <v>1646</v>
      </c>
      <c r="H184" s="1777">
        <v>140000000</v>
      </c>
      <c r="I184" s="1777">
        <v>0</v>
      </c>
      <c r="J184" s="1777">
        <v>0</v>
      </c>
      <c r="K184" s="1777">
        <v>140000000</v>
      </c>
      <c r="L184" s="1777">
        <v>139090000</v>
      </c>
      <c r="M184" s="1777">
        <v>0</v>
      </c>
      <c r="N184" s="1777">
        <v>0</v>
      </c>
      <c r="O184" s="1777">
        <v>139090000</v>
      </c>
      <c r="Q184" s="1775"/>
    </row>
    <row r="185" spans="1:17" s="1774" customFormat="1" x14ac:dyDescent="0.25">
      <c r="A185" s="1772" t="s">
        <v>1646</v>
      </c>
      <c r="B185" s="1776" t="s">
        <v>1935</v>
      </c>
      <c r="C185" s="1772" t="s">
        <v>1592</v>
      </c>
      <c r="D185" s="1772" t="s">
        <v>1714</v>
      </c>
      <c r="E185" s="1772" t="s">
        <v>1715</v>
      </c>
      <c r="F185" s="1772" t="s">
        <v>1646</v>
      </c>
      <c r="G185" s="1772" t="s">
        <v>1646</v>
      </c>
      <c r="H185" s="1777">
        <v>140000000</v>
      </c>
      <c r="I185" s="1777">
        <v>0</v>
      </c>
      <c r="J185" s="1777">
        <v>0</v>
      </c>
      <c r="K185" s="1777">
        <v>140000000</v>
      </c>
      <c r="L185" s="1777">
        <v>139090000</v>
      </c>
      <c r="M185" s="1777">
        <v>0</v>
      </c>
      <c r="N185" s="1777">
        <v>0</v>
      </c>
      <c r="O185" s="1777">
        <v>139090000</v>
      </c>
      <c r="Q185" s="1775"/>
    </row>
    <row r="186" spans="1:17" s="1774" customFormat="1" x14ac:dyDescent="0.25">
      <c r="A186" s="1772" t="s">
        <v>1646</v>
      </c>
      <c r="B186" s="1776" t="s">
        <v>1646</v>
      </c>
      <c r="C186" s="1772" t="s">
        <v>1646</v>
      </c>
      <c r="D186" s="1772" t="s">
        <v>1646</v>
      </c>
      <c r="E186" s="1772" t="s">
        <v>1646</v>
      </c>
      <c r="F186" s="1772" t="s">
        <v>1607</v>
      </c>
      <c r="G186" s="1772" t="s">
        <v>1646</v>
      </c>
      <c r="H186" s="1777" t="s">
        <v>1646</v>
      </c>
      <c r="I186" s="1777" t="s">
        <v>1646</v>
      </c>
      <c r="J186" s="1777" t="s">
        <v>1646</v>
      </c>
      <c r="K186" s="1777" t="s">
        <v>1646</v>
      </c>
      <c r="L186" s="1777">
        <v>10492438</v>
      </c>
      <c r="M186" s="1777">
        <v>0</v>
      </c>
      <c r="N186" s="1777">
        <v>0</v>
      </c>
      <c r="O186" s="1777">
        <v>10492438</v>
      </c>
      <c r="Q186" s="1775"/>
    </row>
    <row r="187" spans="1:17" s="1774" customFormat="1" x14ac:dyDescent="0.25">
      <c r="A187" s="1772" t="s">
        <v>1646</v>
      </c>
      <c r="B187" s="1776" t="s">
        <v>1646</v>
      </c>
      <c r="C187" s="1772" t="s">
        <v>1646</v>
      </c>
      <c r="D187" s="1772" t="s">
        <v>1646</v>
      </c>
      <c r="E187" s="1772" t="s">
        <v>1646</v>
      </c>
      <c r="F187" s="1772" t="s">
        <v>1607</v>
      </c>
      <c r="G187" s="1772" t="s">
        <v>1608</v>
      </c>
      <c r="H187" s="1777" t="s">
        <v>1646</v>
      </c>
      <c r="I187" s="1777" t="s">
        <v>1646</v>
      </c>
      <c r="J187" s="1777" t="s">
        <v>1646</v>
      </c>
      <c r="K187" s="1777" t="s">
        <v>1646</v>
      </c>
      <c r="L187" s="1777">
        <v>10492438</v>
      </c>
      <c r="M187" s="1777">
        <v>0</v>
      </c>
      <c r="N187" s="1777">
        <v>0</v>
      </c>
      <c r="O187" s="1777">
        <v>10492438</v>
      </c>
      <c r="Q187" s="1775"/>
    </row>
    <row r="188" spans="1:17" s="1774" customFormat="1" x14ac:dyDescent="0.25">
      <c r="A188" s="1772" t="s">
        <v>1646</v>
      </c>
      <c r="B188" s="1776" t="s">
        <v>1646</v>
      </c>
      <c r="C188" s="1772" t="s">
        <v>1646</v>
      </c>
      <c r="D188" s="1772" t="s">
        <v>1646</v>
      </c>
      <c r="E188" s="1772" t="s">
        <v>1646</v>
      </c>
      <c r="F188" s="1772" t="s">
        <v>1623</v>
      </c>
      <c r="G188" s="1772" t="s">
        <v>1646</v>
      </c>
      <c r="H188" s="1777" t="s">
        <v>1646</v>
      </c>
      <c r="I188" s="1777" t="s">
        <v>1646</v>
      </c>
      <c r="J188" s="1777" t="s">
        <v>1646</v>
      </c>
      <c r="K188" s="1777" t="s">
        <v>1646</v>
      </c>
      <c r="L188" s="1777">
        <v>672734</v>
      </c>
      <c r="M188" s="1777">
        <v>0</v>
      </c>
      <c r="N188" s="1777">
        <v>0</v>
      </c>
      <c r="O188" s="1777">
        <v>672734</v>
      </c>
      <c r="Q188" s="1775"/>
    </row>
    <row r="189" spans="1:17" s="1774" customFormat="1" x14ac:dyDescent="0.25">
      <c r="A189" s="1772" t="s">
        <v>1646</v>
      </c>
      <c r="B189" s="1776" t="s">
        <v>1646</v>
      </c>
      <c r="C189" s="1772" t="s">
        <v>1646</v>
      </c>
      <c r="D189" s="1772" t="s">
        <v>1646</v>
      </c>
      <c r="E189" s="1772" t="s">
        <v>1646</v>
      </c>
      <c r="F189" s="1772" t="s">
        <v>1623</v>
      </c>
      <c r="G189" s="1772" t="s">
        <v>1624</v>
      </c>
      <c r="H189" s="1777" t="s">
        <v>1646</v>
      </c>
      <c r="I189" s="1777" t="s">
        <v>1646</v>
      </c>
      <c r="J189" s="1777" t="s">
        <v>1646</v>
      </c>
      <c r="K189" s="1777" t="s">
        <v>1646</v>
      </c>
      <c r="L189" s="1777">
        <v>672734</v>
      </c>
      <c r="M189" s="1777">
        <v>0</v>
      </c>
      <c r="N189" s="1777">
        <v>0</v>
      </c>
      <c r="O189" s="1777">
        <v>672734</v>
      </c>
      <c r="Q189" s="1775"/>
    </row>
    <row r="190" spans="1:17" s="1774" customFormat="1" x14ac:dyDescent="0.25">
      <c r="A190" s="1772" t="s">
        <v>1646</v>
      </c>
      <c r="B190" s="1776" t="s">
        <v>1646</v>
      </c>
      <c r="C190" s="1772" t="s">
        <v>1646</v>
      </c>
      <c r="D190" s="1772" t="s">
        <v>1646</v>
      </c>
      <c r="E190" s="1772" t="s">
        <v>1646</v>
      </c>
      <c r="F190" s="1772" t="s">
        <v>1652</v>
      </c>
      <c r="G190" s="1772" t="s">
        <v>1646</v>
      </c>
      <c r="H190" s="1777" t="s">
        <v>1646</v>
      </c>
      <c r="I190" s="1777" t="s">
        <v>1646</v>
      </c>
      <c r="J190" s="1777" t="s">
        <v>1646</v>
      </c>
      <c r="K190" s="1777" t="s">
        <v>1646</v>
      </c>
      <c r="L190" s="1777">
        <v>26988828</v>
      </c>
      <c r="M190" s="1777">
        <v>0</v>
      </c>
      <c r="N190" s="1777">
        <v>0</v>
      </c>
      <c r="O190" s="1777">
        <v>26988828</v>
      </c>
      <c r="Q190" s="1775"/>
    </row>
    <row r="191" spans="1:17" s="1774" customFormat="1" x14ac:dyDescent="0.25">
      <c r="A191" s="1772" t="s">
        <v>1646</v>
      </c>
      <c r="B191" s="1776" t="s">
        <v>1646</v>
      </c>
      <c r="C191" s="1772" t="s">
        <v>1646</v>
      </c>
      <c r="D191" s="1772" t="s">
        <v>1646</v>
      </c>
      <c r="E191" s="1772" t="s">
        <v>1646</v>
      </c>
      <c r="F191" s="1772" t="s">
        <v>1652</v>
      </c>
      <c r="G191" s="1772" t="s">
        <v>1653</v>
      </c>
      <c r="H191" s="1777" t="s">
        <v>1646</v>
      </c>
      <c r="I191" s="1777" t="s">
        <v>1646</v>
      </c>
      <c r="J191" s="1777" t="s">
        <v>1646</v>
      </c>
      <c r="K191" s="1777" t="s">
        <v>1646</v>
      </c>
      <c r="L191" s="1777">
        <v>26988828</v>
      </c>
      <c r="M191" s="1777">
        <v>0</v>
      </c>
      <c r="N191" s="1777">
        <v>0</v>
      </c>
      <c r="O191" s="1777">
        <v>26988828</v>
      </c>
      <c r="Q191" s="1775"/>
    </row>
    <row r="192" spans="1:17" s="1774" customFormat="1" x14ac:dyDescent="0.25">
      <c r="A192" s="1772" t="s">
        <v>1646</v>
      </c>
      <c r="B192" s="1776" t="s">
        <v>1646</v>
      </c>
      <c r="C192" s="1772" t="s">
        <v>1646</v>
      </c>
      <c r="D192" s="1772" t="s">
        <v>1646</v>
      </c>
      <c r="E192" s="1772" t="s">
        <v>1646</v>
      </c>
      <c r="F192" s="1772" t="s">
        <v>1654</v>
      </c>
      <c r="G192" s="1772" t="s">
        <v>1646</v>
      </c>
      <c r="H192" s="1777" t="s">
        <v>1646</v>
      </c>
      <c r="I192" s="1777" t="s">
        <v>1646</v>
      </c>
      <c r="J192" s="1777" t="s">
        <v>1646</v>
      </c>
      <c r="K192" s="1777" t="s">
        <v>1646</v>
      </c>
      <c r="L192" s="1777">
        <v>10495000</v>
      </c>
      <c r="M192" s="1777">
        <v>0</v>
      </c>
      <c r="N192" s="1777">
        <v>0</v>
      </c>
      <c r="O192" s="1777">
        <v>10495000</v>
      </c>
      <c r="Q192" s="1775"/>
    </row>
    <row r="193" spans="1:17" s="1774" customFormat="1" x14ac:dyDescent="0.25">
      <c r="A193" s="1772" t="s">
        <v>1646</v>
      </c>
      <c r="B193" s="1776" t="s">
        <v>1646</v>
      </c>
      <c r="C193" s="1772" t="s">
        <v>1646</v>
      </c>
      <c r="D193" s="1772" t="s">
        <v>1646</v>
      </c>
      <c r="E193" s="1772" t="s">
        <v>1646</v>
      </c>
      <c r="F193" s="1772" t="s">
        <v>1654</v>
      </c>
      <c r="G193" s="1772" t="s">
        <v>1655</v>
      </c>
      <c r="H193" s="1777" t="s">
        <v>1646</v>
      </c>
      <c r="I193" s="1777" t="s">
        <v>1646</v>
      </c>
      <c r="J193" s="1777" t="s">
        <v>1646</v>
      </c>
      <c r="K193" s="1777" t="s">
        <v>1646</v>
      </c>
      <c r="L193" s="1777">
        <v>10495000</v>
      </c>
      <c r="M193" s="1777">
        <v>0</v>
      </c>
      <c r="N193" s="1777">
        <v>0</v>
      </c>
      <c r="O193" s="1777">
        <v>10495000</v>
      </c>
      <c r="Q193" s="1775"/>
    </row>
    <row r="194" spans="1:17" s="1774" customFormat="1" x14ac:dyDescent="0.25">
      <c r="A194" s="1772" t="s">
        <v>1646</v>
      </c>
      <c r="B194" s="1776" t="s">
        <v>1646</v>
      </c>
      <c r="C194" s="1772" t="s">
        <v>1646</v>
      </c>
      <c r="D194" s="1772" t="s">
        <v>1646</v>
      </c>
      <c r="E194" s="1772" t="s">
        <v>1646</v>
      </c>
      <c r="F194" s="1772" t="s">
        <v>1618</v>
      </c>
      <c r="G194" s="1772" t="s">
        <v>1646</v>
      </c>
      <c r="H194" s="1777" t="s">
        <v>1646</v>
      </c>
      <c r="I194" s="1777" t="s">
        <v>1646</v>
      </c>
      <c r="J194" s="1777" t="s">
        <v>1646</v>
      </c>
      <c r="K194" s="1777" t="s">
        <v>1646</v>
      </c>
      <c r="L194" s="1777">
        <v>46841000</v>
      </c>
      <c r="M194" s="1777">
        <v>0</v>
      </c>
      <c r="N194" s="1777">
        <v>0</v>
      </c>
      <c r="O194" s="1777">
        <v>46841000</v>
      </c>
      <c r="Q194" s="1775"/>
    </row>
    <row r="195" spans="1:17" s="1774" customFormat="1" x14ac:dyDescent="0.25">
      <c r="A195" s="1772" t="s">
        <v>1646</v>
      </c>
      <c r="B195" s="1776" t="s">
        <v>1646</v>
      </c>
      <c r="C195" s="1772" t="s">
        <v>1646</v>
      </c>
      <c r="D195" s="1772" t="s">
        <v>1646</v>
      </c>
      <c r="E195" s="1772" t="s">
        <v>1646</v>
      </c>
      <c r="F195" s="1772" t="s">
        <v>1618</v>
      </c>
      <c r="G195" s="1772" t="s">
        <v>1716</v>
      </c>
      <c r="H195" s="1777" t="s">
        <v>1646</v>
      </c>
      <c r="I195" s="1777" t="s">
        <v>1646</v>
      </c>
      <c r="J195" s="1777" t="s">
        <v>1646</v>
      </c>
      <c r="K195" s="1777" t="s">
        <v>1646</v>
      </c>
      <c r="L195" s="1777">
        <v>20000000</v>
      </c>
      <c r="M195" s="1777">
        <v>0</v>
      </c>
      <c r="N195" s="1777">
        <v>0</v>
      </c>
      <c r="O195" s="1777">
        <v>20000000</v>
      </c>
      <c r="Q195" s="1775"/>
    </row>
    <row r="196" spans="1:17" s="1774" customFormat="1" x14ac:dyDescent="0.25">
      <c r="A196" s="1772" t="s">
        <v>1646</v>
      </c>
      <c r="B196" s="1776" t="s">
        <v>1646</v>
      </c>
      <c r="C196" s="1772" t="s">
        <v>1646</v>
      </c>
      <c r="D196" s="1772" t="s">
        <v>1646</v>
      </c>
      <c r="E196" s="1772" t="s">
        <v>1646</v>
      </c>
      <c r="F196" s="1772" t="s">
        <v>1618</v>
      </c>
      <c r="G196" s="1772" t="s">
        <v>1622</v>
      </c>
      <c r="H196" s="1777" t="s">
        <v>1646</v>
      </c>
      <c r="I196" s="1777" t="s">
        <v>1646</v>
      </c>
      <c r="J196" s="1777" t="s">
        <v>1646</v>
      </c>
      <c r="K196" s="1777" t="s">
        <v>1646</v>
      </c>
      <c r="L196" s="1777">
        <v>26841000</v>
      </c>
      <c r="M196" s="1777">
        <v>0</v>
      </c>
      <c r="N196" s="1777">
        <v>0</v>
      </c>
      <c r="O196" s="1777">
        <v>26841000</v>
      </c>
      <c r="Q196" s="1775"/>
    </row>
    <row r="197" spans="1:17" s="1774" customFormat="1" x14ac:dyDescent="0.25">
      <c r="A197" s="1772" t="s">
        <v>1646</v>
      </c>
      <c r="B197" s="1776" t="s">
        <v>1646</v>
      </c>
      <c r="C197" s="1772" t="s">
        <v>1646</v>
      </c>
      <c r="D197" s="1772" t="s">
        <v>1646</v>
      </c>
      <c r="E197" s="1772" t="s">
        <v>1646</v>
      </c>
      <c r="F197" s="1772" t="s">
        <v>1615</v>
      </c>
      <c r="G197" s="1772" t="s">
        <v>1646</v>
      </c>
      <c r="H197" s="1777" t="s">
        <v>1646</v>
      </c>
      <c r="I197" s="1777" t="s">
        <v>1646</v>
      </c>
      <c r="J197" s="1777" t="s">
        <v>1646</v>
      </c>
      <c r="K197" s="1777" t="s">
        <v>1646</v>
      </c>
      <c r="L197" s="1777">
        <v>43600000</v>
      </c>
      <c r="M197" s="1777">
        <v>0</v>
      </c>
      <c r="N197" s="1777">
        <v>0</v>
      </c>
      <c r="O197" s="1777">
        <v>43600000</v>
      </c>
      <c r="Q197" s="1775"/>
    </row>
    <row r="198" spans="1:17" s="1774" customFormat="1" x14ac:dyDescent="0.25">
      <c r="A198" s="1772" t="s">
        <v>1646</v>
      </c>
      <c r="B198" s="1776" t="s">
        <v>1646</v>
      </c>
      <c r="C198" s="1772" t="s">
        <v>1646</v>
      </c>
      <c r="D198" s="1772" t="s">
        <v>1646</v>
      </c>
      <c r="E198" s="1772" t="s">
        <v>1646</v>
      </c>
      <c r="F198" s="1772" t="s">
        <v>1615</v>
      </c>
      <c r="G198" s="1772" t="s">
        <v>1616</v>
      </c>
      <c r="H198" s="1777" t="s">
        <v>1646</v>
      </c>
      <c r="I198" s="1777" t="s">
        <v>1646</v>
      </c>
      <c r="J198" s="1777" t="s">
        <v>1646</v>
      </c>
      <c r="K198" s="1777" t="s">
        <v>1646</v>
      </c>
      <c r="L198" s="1777">
        <v>43600000</v>
      </c>
      <c r="M198" s="1777">
        <v>0</v>
      </c>
      <c r="N198" s="1777">
        <v>0</v>
      </c>
      <c r="O198" s="1777">
        <v>43600000</v>
      </c>
      <c r="Q198" s="1775"/>
    </row>
  </sheetData>
  <pageMargins left="0.7" right="0.7" top="0.75" bottom="0.75" header="0.3" footer="0.3"/>
  <pageSetup paperSize="9" scale="61" orientation="portrait" verticalDpi="0"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tint="0.39997558519241921"/>
  </sheetPr>
  <dimension ref="A1:Q33"/>
  <sheetViews>
    <sheetView view="pageBreakPreview" zoomScale="85" zoomScaleNormal="100" zoomScaleSheetLayoutView="85" workbookViewId="0">
      <pane xSplit="2" ySplit="6" topLeftCell="C9" activePane="bottomRight" state="frozen"/>
      <selection pane="topRight" activeCell="C1" sqref="C1"/>
      <selection pane="bottomLeft" activeCell="A7" sqref="A7"/>
      <selection pane="bottomRight" activeCell="B10" sqref="B10"/>
    </sheetView>
  </sheetViews>
  <sheetFormatPr defaultColWidth="8.85546875" defaultRowHeight="15" x14ac:dyDescent="0.25"/>
  <cols>
    <col min="1" max="1" width="6.28515625" style="36" customWidth="1"/>
    <col min="2" max="2" width="48.7109375" style="310" customWidth="1"/>
    <col min="3" max="3" width="17.28515625" style="2511" customWidth="1"/>
    <col min="4" max="4" width="17" style="2512" customWidth="1"/>
    <col min="5" max="5" width="17.7109375" style="2518" customWidth="1"/>
    <col min="6" max="6" width="19.28515625" style="307" hidden="1" customWidth="1"/>
    <col min="7" max="7" width="16.140625" style="286" customWidth="1"/>
    <col min="8" max="8" width="16.28515625" style="36" hidden="1" customWidth="1"/>
    <col min="9" max="9" width="15.85546875" style="36" hidden="1" customWidth="1"/>
    <col min="10" max="10" width="22.140625" style="36" hidden="1" customWidth="1"/>
    <col min="11" max="11" width="17.140625" style="36" hidden="1" customWidth="1"/>
    <col min="12" max="12" width="20.28515625" style="36" hidden="1" customWidth="1"/>
    <col min="13" max="13" width="10.7109375" style="36" hidden="1" customWidth="1"/>
    <col min="14" max="14" width="17.42578125" style="36" hidden="1" customWidth="1"/>
    <col min="15" max="15" width="14.140625" style="36" customWidth="1"/>
    <col min="16" max="21" width="9.140625" style="36" customWidth="1"/>
    <col min="22" max="16384" width="8.85546875" style="36"/>
  </cols>
  <sheetData>
    <row r="1" spans="1:17" ht="21.75" customHeight="1" x14ac:dyDescent="0.25">
      <c r="A1" s="244" t="str">
        <f>'48_NĐ31'!A1</f>
        <v xml:space="preserve">UBND PHƯỜNG BẮC KẠN </v>
      </c>
      <c r="E1" s="3132" t="s">
        <v>1043</v>
      </c>
      <c r="F1" s="3132"/>
      <c r="G1" s="3132"/>
      <c r="H1" s="3132"/>
    </row>
    <row r="2" spans="1:17" ht="25.5" customHeight="1" x14ac:dyDescent="0.25">
      <c r="A2" s="3132" t="s">
        <v>1985</v>
      </c>
      <c r="B2" s="3132"/>
      <c r="C2" s="3132"/>
      <c r="D2" s="3132"/>
      <c r="E2" s="3132"/>
      <c r="F2" s="3132"/>
      <c r="G2" s="3132"/>
    </row>
    <row r="3" spans="1:17" ht="25.5" customHeight="1" x14ac:dyDescent="0.25">
      <c r="A3" s="3140" t="str">
        <f>'65_TT342'!A3:I3</f>
        <v>(Kèm theo Quyết định số          /QĐ-UBND ngày          /4/2026 của UBND phường Bắc Kạn)</v>
      </c>
      <c r="B3" s="3140"/>
      <c r="C3" s="3140"/>
      <c r="D3" s="3140"/>
      <c r="E3" s="3140"/>
      <c r="F3" s="3140"/>
      <c r="G3" s="3140"/>
    </row>
    <row r="4" spans="1:17" ht="20.25" customHeight="1" x14ac:dyDescent="0.25">
      <c r="B4" s="2532"/>
      <c r="E4" s="3146" t="s">
        <v>1187</v>
      </c>
      <c r="F4" s="3146"/>
      <c r="G4" s="3146"/>
    </row>
    <row r="5" spans="1:17" s="102" customFormat="1" ht="25.5" customHeight="1" x14ac:dyDescent="0.25">
      <c r="A5" s="3294"/>
      <c r="B5" s="3134" t="s">
        <v>1</v>
      </c>
      <c r="C5" s="3295" t="s">
        <v>13</v>
      </c>
      <c r="D5" s="3296" t="s">
        <v>47</v>
      </c>
      <c r="E5" s="3296"/>
      <c r="F5" s="3297" t="s">
        <v>711</v>
      </c>
      <c r="G5" s="3134" t="s">
        <v>55</v>
      </c>
      <c r="I5" s="378"/>
    </row>
    <row r="6" spans="1:17" s="102" customFormat="1" ht="25.5" customHeight="1" x14ac:dyDescent="0.25">
      <c r="A6" s="3294"/>
      <c r="B6" s="3134"/>
      <c r="C6" s="3295"/>
      <c r="D6" s="2514" t="s">
        <v>905</v>
      </c>
      <c r="E6" s="2513" t="s">
        <v>146</v>
      </c>
      <c r="F6" s="3297"/>
      <c r="G6" s="3134"/>
      <c r="I6" s="2495" t="s">
        <v>664</v>
      </c>
      <c r="J6" s="2495"/>
      <c r="N6" s="2050">
        <f>C8+C10</f>
        <v>122721987.16300002</v>
      </c>
    </row>
    <row r="7" spans="1:17" s="102" customFormat="1" ht="21" customHeight="1" x14ac:dyDescent="0.25">
      <c r="A7" s="252" t="s">
        <v>3</v>
      </c>
      <c r="B7" s="252" t="s">
        <v>4</v>
      </c>
      <c r="C7" s="1345" t="s">
        <v>35</v>
      </c>
      <c r="D7" s="2506">
        <v>2</v>
      </c>
      <c r="E7" s="2515">
        <v>3</v>
      </c>
      <c r="F7" s="1346"/>
      <c r="G7" s="252">
        <v>4</v>
      </c>
      <c r="N7" s="2050">
        <f>N8-C9</f>
        <v>0</v>
      </c>
    </row>
    <row r="8" spans="1:17" s="102" customFormat="1" ht="24" customHeight="1" x14ac:dyDescent="0.25">
      <c r="A8" s="5" t="s">
        <v>5</v>
      </c>
      <c r="B8" s="2419" t="s">
        <v>2151</v>
      </c>
      <c r="C8" s="1804">
        <f>D8+E8</f>
        <v>62197643.375</v>
      </c>
      <c r="D8" s="2519"/>
      <c r="E8" s="1810">
        <f>'62_TT342'!D70</f>
        <v>62197643.375</v>
      </c>
      <c r="F8" s="1346"/>
      <c r="G8" s="252"/>
      <c r="N8" s="2050">
        <f>C8+C10</f>
        <v>122721987.16300002</v>
      </c>
    </row>
    <row r="9" spans="1:17" s="102" customFormat="1" ht="24" customHeight="1" x14ac:dyDescent="0.25">
      <c r="A9" s="5" t="s">
        <v>11</v>
      </c>
      <c r="B9" s="2419" t="s">
        <v>1086</v>
      </c>
      <c r="C9" s="1804">
        <f>D9+E9</f>
        <v>122721987.163</v>
      </c>
      <c r="D9" s="2519"/>
      <c r="E9" s="1810">
        <f>'62_TT342'!E70</f>
        <v>122721987.163</v>
      </c>
      <c r="F9" s="1346"/>
      <c r="G9" s="252"/>
    </row>
    <row r="10" spans="1:17" s="377" customFormat="1" ht="24" customHeight="1" x14ac:dyDescent="0.25">
      <c r="A10" s="5" t="s">
        <v>17</v>
      </c>
      <c r="B10" s="84" t="s">
        <v>148</v>
      </c>
      <c r="C10" s="1804">
        <f>SUM(C26,C13,C11,C29,C33)</f>
        <v>60524343.78800001</v>
      </c>
      <c r="D10" s="1804">
        <f>SUM(D26,D13,D11,D29,D32,D33)</f>
        <v>64962806.870999999</v>
      </c>
      <c r="E10" s="1804">
        <f>SUM(E26,E13,E11,E29,E32,E33)</f>
        <v>-4438463.0829999894</v>
      </c>
      <c r="F10" s="2324"/>
      <c r="G10" s="5"/>
      <c r="H10" s="2496"/>
      <c r="J10" s="2497">
        <f>'57_NĐ31'!F9</f>
        <v>202010423.28199998</v>
      </c>
      <c r="K10" s="2498">
        <f>J10-D10</f>
        <v>137047616.41099998</v>
      </c>
      <c r="N10" s="377">
        <v>62197643.375</v>
      </c>
    </row>
    <row r="11" spans="1:17" s="377" customFormat="1" ht="34.5" customHeight="1" x14ac:dyDescent="0.25">
      <c r="A11" s="5">
        <v>1</v>
      </c>
      <c r="B11" s="84" t="s">
        <v>750</v>
      </c>
      <c r="C11" s="1804"/>
      <c r="D11" s="1366"/>
      <c r="E11" s="2520"/>
      <c r="F11" s="2494"/>
      <c r="G11" s="5"/>
      <c r="H11" s="2496">
        <f>'62_TT342'!F70</f>
        <v>35280</v>
      </c>
      <c r="I11" s="377">
        <f>'62_TT342'!F70</f>
        <v>35280</v>
      </c>
      <c r="J11" s="2497">
        <f>'5.14.1'!F9</f>
        <v>2760.3359999999998</v>
      </c>
      <c r="N11" s="2052">
        <f>E8+D10</f>
        <v>127160450.24599999</v>
      </c>
    </row>
    <row r="12" spans="1:17" s="102" customFormat="1" ht="22.5" customHeight="1" x14ac:dyDescent="0.25">
      <c r="A12" s="252" t="s">
        <v>514</v>
      </c>
      <c r="B12" s="2417" t="s">
        <v>2150</v>
      </c>
      <c r="C12" s="2355"/>
      <c r="D12" s="2355"/>
      <c r="E12" s="2521"/>
      <c r="F12" s="2500"/>
      <c r="G12" s="252"/>
      <c r="H12" s="371">
        <v>35880</v>
      </c>
      <c r="I12" s="2501">
        <f>'62_TT342'!F70</f>
        <v>35280</v>
      </c>
      <c r="J12" s="375">
        <f>J11+J10</f>
        <v>202013183.61799997</v>
      </c>
      <c r="N12" s="2050">
        <f>N11-E9</f>
        <v>4438463.0829999894</v>
      </c>
    </row>
    <row r="13" spans="1:17" s="377" customFormat="1" ht="22.5" customHeight="1" x14ac:dyDescent="0.25">
      <c r="A13" s="5">
        <v>2</v>
      </c>
      <c r="B13" s="84" t="s">
        <v>149</v>
      </c>
      <c r="C13" s="1366">
        <f>SUM(C14:C25)</f>
        <v>64962806.870999999</v>
      </c>
      <c r="D13" s="1366">
        <f t="shared" ref="D13" si="0">SUM(D14:D25)</f>
        <v>64962806.870999999</v>
      </c>
      <c r="E13" s="2520">
        <f>SUM(E14:E25)</f>
        <v>0</v>
      </c>
      <c r="F13" s="2499"/>
      <c r="G13" s="5"/>
      <c r="H13" s="2496"/>
    </row>
    <row r="14" spans="1:17" s="102" customFormat="1" ht="128.25" customHeight="1" x14ac:dyDescent="0.25">
      <c r="A14" s="252" t="s">
        <v>1000</v>
      </c>
      <c r="B14" s="619" t="s">
        <v>2035</v>
      </c>
      <c r="C14" s="2521">
        <f>D14+E14</f>
        <v>14278361</v>
      </c>
      <c r="D14" s="2516">
        <v>14278361</v>
      </c>
      <c r="E14" s="2516"/>
      <c r="F14" s="3298" t="s">
        <v>745</v>
      </c>
      <c r="G14" s="3294"/>
      <c r="J14" s="2502" t="e">
        <f>#REF!-#REF!</f>
        <v>#REF!</v>
      </c>
      <c r="L14" s="2503"/>
      <c r="M14" s="2504"/>
      <c r="Q14" s="376"/>
    </row>
    <row r="15" spans="1:17" s="102" customFormat="1" ht="101.25" customHeight="1" x14ac:dyDescent="0.25">
      <c r="A15" s="252" t="s">
        <v>1000</v>
      </c>
      <c r="B15" s="619" t="s">
        <v>2036</v>
      </c>
      <c r="C15" s="2521">
        <f t="shared" ref="C15:C25" si="1">D15+E15</f>
        <v>1500000</v>
      </c>
      <c r="D15" s="2516">
        <v>1500000</v>
      </c>
      <c r="E15" s="2516"/>
      <c r="F15" s="3298"/>
      <c r="G15" s="3294"/>
      <c r="L15" s="2503"/>
      <c r="M15" s="2504"/>
    </row>
    <row r="16" spans="1:17" s="102" customFormat="1" ht="82.5" customHeight="1" x14ac:dyDescent="0.25">
      <c r="A16" s="252" t="s">
        <v>1000</v>
      </c>
      <c r="B16" s="619" t="s">
        <v>2037</v>
      </c>
      <c r="C16" s="2521">
        <f t="shared" si="1"/>
        <v>2298700</v>
      </c>
      <c r="D16" s="2516">
        <v>2298700</v>
      </c>
      <c r="E16" s="2516"/>
      <c r="F16" s="2500" t="s">
        <v>746</v>
      </c>
      <c r="G16" s="3294"/>
      <c r="L16" s="2503"/>
      <c r="M16" s="2504"/>
    </row>
    <row r="17" spans="1:13" s="102" customFormat="1" ht="127.5" customHeight="1" x14ac:dyDescent="0.25">
      <c r="A17" s="252" t="s">
        <v>1000</v>
      </c>
      <c r="B17" s="619" t="s">
        <v>2038</v>
      </c>
      <c r="C17" s="2521">
        <f t="shared" si="1"/>
        <v>22095652.453000002</v>
      </c>
      <c r="D17" s="2516">
        <v>22095652.453000002</v>
      </c>
      <c r="E17" s="2516"/>
      <c r="F17" s="2500" t="s">
        <v>747</v>
      </c>
      <c r="G17" s="3294"/>
      <c r="L17" s="2503"/>
      <c r="M17" s="2504"/>
    </row>
    <row r="18" spans="1:13" s="102" customFormat="1" ht="127.5" customHeight="1" x14ac:dyDescent="0.25">
      <c r="A18" s="252" t="s">
        <v>1000</v>
      </c>
      <c r="B18" s="619" t="s">
        <v>2039</v>
      </c>
      <c r="C18" s="2521">
        <f t="shared" si="1"/>
        <v>5793053.7019999996</v>
      </c>
      <c r="D18" s="2516">
        <v>5793053.7019999996</v>
      </c>
      <c r="E18" s="2516"/>
      <c r="F18" s="2500" t="s">
        <v>748</v>
      </c>
      <c r="G18" s="3294"/>
      <c r="L18" s="2503"/>
      <c r="M18" s="2504"/>
    </row>
    <row r="19" spans="1:13" s="102" customFormat="1" ht="119.25" customHeight="1" x14ac:dyDescent="0.25">
      <c r="A19" s="252" t="s">
        <v>1000</v>
      </c>
      <c r="B19" s="619" t="s">
        <v>2066</v>
      </c>
      <c r="C19" s="2521">
        <f t="shared" si="1"/>
        <v>1467442.355</v>
      </c>
      <c r="D19" s="2519">
        <v>1467442.355</v>
      </c>
      <c r="E19" s="2519"/>
      <c r="F19" s="2500" t="s">
        <v>752</v>
      </c>
      <c r="G19" s="619"/>
      <c r="L19" s="2503"/>
      <c r="M19" s="2504"/>
    </row>
    <row r="20" spans="1:13" s="102" customFormat="1" ht="111" customHeight="1" x14ac:dyDescent="0.25">
      <c r="A20" s="252" t="s">
        <v>1000</v>
      </c>
      <c r="B20" s="619" t="s">
        <v>2040</v>
      </c>
      <c r="C20" s="2521">
        <f t="shared" si="1"/>
        <v>6950470</v>
      </c>
      <c r="D20" s="2516">
        <v>6950470</v>
      </c>
      <c r="E20" s="2516"/>
      <c r="F20" s="2500" t="s">
        <v>748</v>
      </c>
      <c r="G20" s="619"/>
      <c r="L20" s="2503"/>
      <c r="M20" s="2504"/>
    </row>
    <row r="21" spans="1:13" s="102" customFormat="1" ht="127.5" customHeight="1" x14ac:dyDescent="0.25">
      <c r="A21" s="252" t="s">
        <v>1000</v>
      </c>
      <c r="B21" s="619" t="s">
        <v>2041</v>
      </c>
      <c r="C21" s="2521">
        <f t="shared" si="1"/>
        <v>5502921.8609999996</v>
      </c>
      <c r="D21" s="2516">
        <v>5502921.8609999996</v>
      </c>
      <c r="E21" s="2516"/>
      <c r="F21" s="2510" t="s">
        <v>751</v>
      </c>
      <c r="G21" s="619"/>
      <c r="L21" s="2503"/>
      <c r="M21" s="2504"/>
    </row>
    <row r="22" spans="1:13" s="102" customFormat="1" ht="72" customHeight="1" x14ac:dyDescent="0.25">
      <c r="A22" s="252" t="s">
        <v>1000</v>
      </c>
      <c r="B22" s="619" t="s">
        <v>2043</v>
      </c>
      <c r="C22" s="2521">
        <f t="shared" si="1"/>
        <v>2510000</v>
      </c>
      <c r="D22" s="2516">
        <v>2510000</v>
      </c>
      <c r="E22" s="2516"/>
      <c r="F22" s="2500" t="s">
        <v>753</v>
      </c>
      <c r="G22" s="619"/>
      <c r="L22" s="2503"/>
      <c r="M22" s="2504"/>
    </row>
    <row r="23" spans="1:13" s="102" customFormat="1" ht="88.5" customHeight="1" x14ac:dyDescent="0.25">
      <c r="A23" s="252" t="s">
        <v>1000</v>
      </c>
      <c r="B23" s="619" t="s">
        <v>2046</v>
      </c>
      <c r="C23" s="2521">
        <f t="shared" si="1"/>
        <v>1842607.5</v>
      </c>
      <c r="D23" s="2516">
        <v>1842607.5</v>
      </c>
      <c r="E23" s="2516"/>
      <c r="F23" s="3299" t="s">
        <v>658</v>
      </c>
      <c r="G23" s="252"/>
      <c r="L23" s="2505"/>
    </row>
    <row r="24" spans="1:13" s="102" customFormat="1" ht="108.75" customHeight="1" x14ac:dyDescent="0.25">
      <c r="A24" s="252" t="s">
        <v>1000</v>
      </c>
      <c r="B24" s="619" t="s">
        <v>2047</v>
      </c>
      <c r="C24" s="2521">
        <f t="shared" si="1"/>
        <v>525798</v>
      </c>
      <c r="D24" s="2516">
        <v>525798</v>
      </c>
      <c r="E24" s="2516"/>
      <c r="F24" s="3299"/>
      <c r="G24" s="252"/>
      <c r="L24" s="2505"/>
    </row>
    <row r="25" spans="1:13" s="102" customFormat="1" ht="84.75" customHeight="1" x14ac:dyDescent="0.25">
      <c r="A25" s="252" t="s">
        <v>1000</v>
      </c>
      <c r="B25" s="619" t="s">
        <v>2050</v>
      </c>
      <c r="C25" s="2521">
        <f t="shared" si="1"/>
        <v>197800</v>
      </c>
      <c r="D25" s="2521">
        <v>197800</v>
      </c>
      <c r="E25" s="2521"/>
      <c r="F25" s="2500" t="s">
        <v>751</v>
      </c>
      <c r="G25" s="252"/>
      <c r="L25" s="2505"/>
    </row>
    <row r="26" spans="1:13" s="102" customFormat="1" ht="22.5" customHeight="1" x14ac:dyDescent="0.25">
      <c r="A26" s="5">
        <v>3</v>
      </c>
      <c r="B26" s="84" t="s">
        <v>150</v>
      </c>
      <c r="C26" s="2529">
        <f>C28</f>
        <v>-2201149.2179999999</v>
      </c>
      <c r="D26" s="2522">
        <f t="shared" ref="D26" si="2">SUM(D27:D31)</f>
        <v>0</v>
      </c>
      <c r="E26" s="2529">
        <f>E28</f>
        <v>-2201149.2179999999</v>
      </c>
      <c r="F26" s="2343"/>
      <c r="G26" s="252"/>
    </row>
    <row r="27" spans="1:13" s="102" customFormat="1" ht="22.5" customHeight="1" x14ac:dyDescent="0.25">
      <c r="A27" s="252"/>
      <c r="B27" s="2418" t="s">
        <v>2143</v>
      </c>
      <c r="C27" s="2521">
        <f t="shared" ref="C27" si="3">SUM(D27:E27)</f>
        <v>11</v>
      </c>
      <c r="D27" s="2519"/>
      <c r="E27" s="2516">
        <v>11</v>
      </c>
      <c r="F27" s="2500" t="s">
        <v>168</v>
      </c>
      <c r="G27" s="619"/>
      <c r="L27" s="2503"/>
      <c r="M27" s="2504"/>
    </row>
    <row r="28" spans="1:13" s="102" customFormat="1" ht="22.5" customHeight="1" x14ac:dyDescent="0.25">
      <c r="A28" s="252"/>
      <c r="B28" s="2418" t="s">
        <v>2144</v>
      </c>
      <c r="C28" s="2355">
        <f>SUM(D28:E28)</f>
        <v>-2201149.2179999999</v>
      </c>
      <c r="D28" s="2519"/>
      <c r="E28" s="2530">
        <f>-(4067492.619-1866343.401)</f>
        <v>-2201149.2179999999</v>
      </c>
      <c r="F28" s="2500" t="s">
        <v>669</v>
      </c>
      <c r="G28" s="619"/>
      <c r="L28" s="2505"/>
    </row>
    <row r="29" spans="1:13" s="334" customFormat="1" ht="22.5" customHeight="1" x14ac:dyDescent="0.25">
      <c r="A29" s="1443">
        <v>4</v>
      </c>
      <c r="B29" s="1367" t="s">
        <v>2145</v>
      </c>
      <c r="C29" s="257">
        <f t="shared" ref="C29:C31" si="4">SUM(D29:E29)</f>
        <v>0</v>
      </c>
      <c r="D29" s="2523"/>
      <c r="E29" s="2524"/>
      <c r="F29" s="2507"/>
      <c r="G29" s="1443"/>
    </row>
    <row r="30" spans="1:13" s="102" customFormat="1" ht="22.5" customHeight="1" x14ac:dyDescent="0.25">
      <c r="A30" s="2343"/>
      <c r="B30" s="2492" t="s">
        <v>2146</v>
      </c>
      <c r="C30" s="2521">
        <f t="shared" si="4"/>
        <v>0</v>
      </c>
      <c r="D30" s="2525"/>
      <c r="E30" s="2517"/>
      <c r="F30" s="2508"/>
      <c r="G30" s="2044"/>
    </row>
    <row r="31" spans="1:13" s="102" customFormat="1" ht="22.5" customHeight="1" x14ac:dyDescent="0.25">
      <c r="A31" s="2343"/>
      <c r="B31" s="2492" t="s">
        <v>2147</v>
      </c>
      <c r="C31" s="2521">
        <f t="shared" si="4"/>
        <v>0</v>
      </c>
      <c r="D31" s="2525"/>
      <c r="E31" s="2517"/>
      <c r="F31" s="2508"/>
      <c r="G31" s="2044"/>
    </row>
    <row r="32" spans="1:13" s="377" customFormat="1" ht="22.5" customHeight="1" x14ac:dyDescent="0.25">
      <c r="A32" s="5">
        <v>5</v>
      </c>
      <c r="B32" s="2493" t="s">
        <v>2148</v>
      </c>
      <c r="C32" s="2526"/>
      <c r="D32" s="2527"/>
      <c r="E32" s="2528"/>
      <c r="F32" s="2507"/>
      <c r="G32" s="2509"/>
    </row>
    <row r="33" spans="1:7" s="377" customFormat="1" ht="22.5" customHeight="1" x14ac:dyDescent="0.25">
      <c r="A33" s="5">
        <v>6</v>
      </c>
      <c r="B33" s="2493" t="s">
        <v>2149</v>
      </c>
      <c r="C33" s="1804">
        <f>SUM(D33:E33)</f>
        <v>-2237313.86499999</v>
      </c>
      <c r="D33" s="2527"/>
      <c r="E33" s="2531">
        <v>-2237313.86499999</v>
      </c>
      <c r="F33" s="2507"/>
      <c r="G33" s="2509"/>
    </row>
  </sheetData>
  <mergeCells count="13">
    <mergeCell ref="F14:F15"/>
    <mergeCell ref="G14:G18"/>
    <mergeCell ref="F23:F24"/>
    <mergeCell ref="A2:G2"/>
    <mergeCell ref="A3:G3"/>
    <mergeCell ref="E4:G4"/>
    <mergeCell ref="E1:H1"/>
    <mergeCell ref="G5:G6"/>
    <mergeCell ref="A5:A6"/>
    <mergeCell ref="B5:B6"/>
    <mergeCell ref="C5:C6"/>
    <mergeCell ref="D5:E5"/>
    <mergeCell ref="F5:F6"/>
  </mergeCells>
  <printOptions horizontalCentered="1"/>
  <pageMargins left="0.52" right="0.196850393700787" top="0.59055118110236204" bottom="0.59055118110236204" header="0.31496062992126" footer="0.31496062992126"/>
  <pageSetup paperSize="9" scale="75" firstPageNumber="75" orientation="portrait" useFirstPageNumber="1" r:id="rId1"/>
  <headerFooter>
    <oddFooter>&amp;C&amp;P</oddFooter>
  </headerFooter>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39997558519241921"/>
  </sheetPr>
  <dimension ref="A1:G33"/>
  <sheetViews>
    <sheetView view="pageBreakPreview" topLeftCell="A19" zoomScale="90" zoomScaleNormal="100" zoomScaleSheetLayoutView="90" zoomScalePageLayoutView="115" workbookViewId="0">
      <selection activeCell="E5" sqref="E5"/>
    </sheetView>
  </sheetViews>
  <sheetFormatPr defaultRowHeight="15" x14ac:dyDescent="0.25"/>
  <cols>
    <col min="1" max="1" width="7.42578125" customWidth="1"/>
    <col min="2" max="2" width="43.7109375" customWidth="1"/>
    <col min="3" max="5" width="15" customWidth="1"/>
    <col min="6" max="6" width="16.42578125" hidden="1" customWidth="1"/>
    <col min="7" max="7" width="13.140625" bestFit="1" customWidth="1"/>
  </cols>
  <sheetData>
    <row r="1" spans="1:7" ht="25.5" customHeight="1" x14ac:dyDescent="0.25">
      <c r="A1" s="3" t="str">
        <f>'48_NĐ31'!A1</f>
        <v xml:space="preserve">UBND PHƯỜNG BẮC KẠN </v>
      </c>
      <c r="D1" s="3142" t="s">
        <v>1044</v>
      </c>
      <c r="E1" s="3142"/>
      <c r="G1" s="1214"/>
    </row>
    <row r="2" spans="1:7" ht="20.100000000000001" customHeight="1" x14ac:dyDescent="0.25">
      <c r="A2" s="3300" t="s">
        <v>151</v>
      </c>
      <c r="B2" s="3300"/>
      <c r="C2" s="3300"/>
      <c r="D2" s="3300"/>
      <c r="E2" s="3300"/>
      <c r="G2" s="100"/>
    </row>
    <row r="3" spans="1:7" ht="20.100000000000001" customHeight="1" x14ac:dyDescent="0.25">
      <c r="A3" s="3300" t="s">
        <v>1986</v>
      </c>
      <c r="B3" s="3300"/>
      <c r="C3" s="3300"/>
      <c r="D3" s="3300"/>
      <c r="E3" s="3300"/>
    </row>
    <row r="4" spans="1:7" ht="20.100000000000001" customHeight="1" x14ac:dyDescent="0.25">
      <c r="A4" s="3301" t="str">
        <f>'48_NĐ31'!A4:G4</f>
        <v>(Kèm theo Quyết định số          /QĐ-UBND ngày          /4/2026 của UBND phường Bắc Kạn)</v>
      </c>
      <c r="B4" s="3301"/>
      <c r="C4" s="3301"/>
      <c r="D4" s="3301"/>
      <c r="E4" s="3301"/>
    </row>
    <row r="5" spans="1:7" ht="24" customHeight="1" x14ac:dyDescent="0.25">
      <c r="E5" s="3058" t="s">
        <v>1187</v>
      </c>
    </row>
    <row r="6" spans="1:7" s="25" customFormat="1" ht="25.5" customHeight="1" x14ac:dyDescent="0.2">
      <c r="A6" s="6" t="s">
        <v>0</v>
      </c>
      <c r="B6" s="6" t="s">
        <v>1</v>
      </c>
      <c r="C6" s="6" t="s">
        <v>13</v>
      </c>
      <c r="D6" s="6" t="s">
        <v>905</v>
      </c>
      <c r="E6" s="6" t="s">
        <v>146</v>
      </c>
    </row>
    <row r="7" spans="1:7" s="25" customFormat="1" ht="20.25" customHeight="1" x14ac:dyDescent="0.2">
      <c r="A7" s="6" t="s">
        <v>3</v>
      </c>
      <c r="B7" s="6" t="s">
        <v>4</v>
      </c>
      <c r="C7" s="6">
        <v>1</v>
      </c>
      <c r="D7" s="6">
        <v>2</v>
      </c>
      <c r="E7" s="6">
        <v>3</v>
      </c>
    </row>
    <row r="8" spans="1:7" s="27" customFormat="1" ht="19.899999999999999" customHeight="1" x14ac:dyDescent="0.2">
      <c r="A8" s="31" t="s">
        <v>3</v>
      </c>
      <c r="B8" s="2873" t="s">
        <v>152</v>
      </c>
      <c r="C8" s="32">
        <f>SUM(D8:E8)</f>
        <v>8905000</v>
      </c>
      <c r="D8" s="32">
        <f>SUM(D9,D21)</f>
        <v>301000</v>
      </c>
      <c r="E8" s="32">
        <f>SUM(E9,E21)</f>
        <v>8604000</v>
      </c>
      <c r="F8" s="2857">
        <v>8905000</v>
      </c>
    </row>
    <row r="9" spans="1:7" s="27" customFormat="1" ht="19.899999999999999" customHeight="1" x14ac:dyDescent="0.2">
      <c r="A9" s="31" t="s">
        <v>5</v>
      </c>
      <c r="B9" s="2873" t="s">
        <v>37</v>
      </c>
      <c r="C9" s="32">
        <f>SUM(D9:E9)</f>
        <v>8905000</v>
      </c>
      <c r="D9" s="32">
        <f>SUM(D10:D12)</f>
        <v>301000</v>
      </c>
      <c r="E9" s="32">
        <f>SUM(E10:E12)</f>
        <v>8604000</v>
      </c>
      <c r="F9" s="323"/>
    </row>
    <row r="10" spans="1:7" s="30" customFormat="1" ht="19.899999999999999" customHeight="1" x14ac:dyDescent="0.25">
      <c r="A10" s="2870">
        <v>1</v>
      </c>
      <c r="B10" s="2871" t="s">
        <v>153</v>
      </c>
      <c r="C10" s="2872">
        <f>D10+E10</f>
        <v>0</v>
      </c>
      <c r="D10" s="2869"/>
      <c r="E10" s="2869"/>
      <c r="F10" s="324"/>
    </row>
    <row r="11" spans="1:7" s="30" customFormat="1" ht="19.899999999999999" customHeight="1" x14ac:dyDescent="0.25">
      <c r="A11" s="28">
        <v>2</v>
      </c>
      <c r="B11" s="29" t="s">
        <v>791</v>
      </c>
      <c r="C11" s="35">
        <f>D11+E11</f>
        <v>301000</v>
      </c>
      <c r="D11" s="35">
        <f>'MS 02'!C20</f>
        <v>301000</v>
      </c>
      <c r="E11" s="35"/>
    </row>
    <row r="12" spans="1:7" s="30" customFormat="1" ht="19.899999999999999" customHeight="1" x14ac:dyDescent="0.25">
      <c r="A12" s="28">
        <v>3</v>
      </c>
      <c r="B12" s="29" t="s">
        <v>154</v>
      </c>
      <c r="C12" s="35">
        <f>C13+C14+C15+C16+C17</f>
        <v>7604000</v>
      </c>
      <c r="D12" s="2856">
        <f>D13+D14+D15+D16+D17</f>
        <v>0</v>
      </c>
      <c r="E12" s="35">
        <f>E13+E18</f>
        <v>8604000</v>
      </c>
    </row>
    <row r="13" spans="1:7" s="30" customFormat="1" ht="19.899999999999999" customHeight="1" x14ac:dyDescent="0.25">
      <c r="A13" s="28"/>
      <c r="B13" s="29" t="s">
        <v>2305</v>
      </c>
      <c r="C13" s="35">
        <f>SUM(D13:E13)</f>
        <v>7604000</v>
      </c>
      <c r="D13" s="35"/>
      <c r="E13" s="35">
        <v>7604000</v>
      </c>
    </row>
    <row r="14" spans="1:7" s="30" customFormat="1" ht="19.899999999999999" customHeight="1" x14ac:dyDescent="0.25">
      <c r="A14" s="28"/>
      <c r="B14" s="29" t="s">
        <v>155</v>
      </c>
      <c r="C14" s="2856">
        <f t="shared" ref="C14:C19" si="0">SUM(D14:E14)</f>
        <v>0</v>
      </c>
      <c r="D14" s="35"/>
      <c r="E14" s="35"/>
    </row>
    <row r="15" spans="1:7" s="30" customFormat="1" ht="19.899999999999999" customHeight="1" x14ac:dyDescent="0.25">
      <c r="A15" s="28"/>
      <c r="B15" s="29" t="s">
        <v>2304</v>
      </c>
      <c r="C15" s="2856">
        <f t="shared" si="0"/>
        <v>0</v>
      </c>
      <c r="D15" s="35"/>
      <c r="E15" s="35"/>
    </row>
    <row r="16" spans="1:7" s="30" customFormat="1" ht="19.899999999999999" customHeight="1" x14ac:dyDescent="0.25">
      <c r="A16" s="28"/>
      <c r="B16" s="29" t="s">
        <v>156</v>
      </c>
      <c r="C16" s="2856">
        <f t="shared" si="0"/>
        <v>0</v>
      </c>
      <c r="D16" s="35"/>
      <c r="E16" s="35"/>
    </row>
    <row r="17" spans="1:6" s="30" customFormat="1" ht="19.899999999999999" customHeight="1" x14ac:dyDescent="0.25">
      <c r="A17" s="28"/>
      <c r="B17" s="29" t="s">
        <v>157</v>
      </c>
      <c r="C17" s="2856">
        <f t="shared" si="0"/>
        <v>0</v>
      </c>
      <c r="D17" s="35"/>
      <c r="E17" s="35"/>
    </row>
    <row r="18" spans="1:6" s="30" customFormat="1" ht="19.899999999999999" customHeight="1" x14ac:dyDescent="0.25">
      <c r="A18" s="28"/>
      <c r="B18" s="29" t="s">
        <v>2306</v>
      </c>
      <c r="C18" s="35">
        <f t="shared" si="0"/>
        <v>1000000</v>
      </c>
      <c r="D18" s="35"/>
      <c r="E18" s="35">
        <f>E19</f>
        <v>1000000</v>
      </c>
    </row>
    <row r="19" spans="1:6" s="30" customFormat="1" ht="60" customHeight="1" x14ac:dyDescent="0.25">
      <c r="A19" s="28"/>
      <c r="B19" s="29" t="s">
        <v>2300</v>
      </c>
      <c r="C19" s="35">
        <f t="shared" si="0"/>
        <v>1000000</v>
      </c>
      <c r="D19" s="35"/>
      <c r="E19" s="35">
        <v>1000000</v>
      </c>
    </row>
    <row r="20" spans="1:6" s="30" customFormat="1" ht="19.899999999999999" customHeight="1" x14ac:dyDescent="0.25">
      <c r="A20" s="2864">
        <v>4</v>
      </c>
      <c r="B20" s="2865" t="s">
        <v>158</v>
      </c>
      <c r="C20" s="2866"/>
      <c r="D20" s="2866"/>
      <c r="E20" s="2866"/>
    </row>
    <row r="21" spans="1:6" s="27" customFormat="1" ht="19.899999999999999" customHeight="1" x14ac:dyDescent="0.2">
      <c r="A21" s="31" t="s">
        <v>11</v>
      </c>
      <c r="B21" s="2873" t="s">
        <v>159</v>
      </c>
      <c r="C21" s="32"/>
      <c r="D21" s="32"/>
      <c r="E21" s="32"/>
    </row>
    <row r="22" spans="1:6" s="27" customFormat="1" ht="35.25" customHeight="1" x14ac:dyDescent="0.2">
      <c r="A22" s="31" t="s">
        <v>4</v>
      </c>
      <c r="B22" s="2873" t="s">
        <v>160</v>
      </c>
      <c r="C22" s="32">
        <f>C23+C24</f>
        <v>6439814</v>
      </c>
      <c r="D22" s="2874">
        <f>D23+D24</f>
        <v>0</v>
      </c>
      <c r="E22" s="32">
        <f>E23+E24</f>
        <v>6441962</v>
      </c>
      <c r="F22" s="2859"/>
    </row>
    <row r="23" spans="1:6" s="30" customFormat="1" ht="19.5" customHeight="1" x14ac:dyDescent="0.25">
      <c r="A23" s="2870" t="s">
        <v>5</v>
      </c>
      <c r="B23" s="2871" t="s">
        <v>161</v>
      </c>
      <c r="C23" s="2872">
        <f>SUM(D23:E23)</f>
        <v>0</v>
      </c>
      <c r="D23" s="2872">
        <v>0</v>
      </c>
      <c r="E23" s="2869"/>
    </row>
    <row r="24" spans="1:6" s="30" customFormat="1" ht="19.5" customHeight="1" x14ac:dyDescent="0.25">
      <c r="A24" s="28" t="s">
        <v>11</v>
      </c>
      <c r="B24" s="29" t="s">
        <v>28</v>
      </c>
      <c r="C24" s="35">
        <f>SUM(C25:C28)</f>
        <v>6439814</v>
      </c>
      <c r="D24" s="2856">
        <f>SUM(D25:D28)</f>
        <v>0</v>
      </c>
      <c r="E24" s="35">
        <f>SUM(E25:E29)</f>
        <v>6441962</v>
      </c>
    </row>
    <row r="25" spans="1:6" s="30" customFormat="1" ht="19.5" customHeight="1" x14ac:dyDescent="0.25">
      <c r="A25" s="28">
        <v>1</v>
      </c>
      <c r="B25" s="29" t="s">
        <v>663</v>
      </c>
      <c r="C25" s="2856">
        <f>SUM(D25:E25)</f>
        <v>0</v>
      </c>
      <c r="D25" s="35"/>
      <c r="E25" s="518"/>
      <c r="F25" s="38"/>
    </row>
    <row r="26" spans="1:6" s="30" customFormat="1" ht="19.5" customHeight="1" x14ac:dyDescent="0.25">
      <c r="A26" s="28">
        <v>2</v>
      </c>
      <c r="B26" s="29" t="s">
        <v>76</v>
      </c>
      <c r="C26" s="35">
        <f>SUM(D26:E26)</f>
        <v>4939814</v>
      </c>
      <c r="D26" s="35"/>
      <c r="E26" s="35">
        <f>'68_T342'!D13+'68_T342'!D15+'68_T342'!D16+'68_T342'!D19+'68_T342'!D21+'68_T342'!D22</f>
        <v>4939814</v>
      </c>
    </row>
    <row r="27" spans="1:6" s="30" customFormat="1" ht="19.5" customHeight="1" x14ac:dyDescent="0.25">
      <c r="A27" s="28">
        <v>3</v>
      </c>
      <c r="B27" s="29" t="s">
        <v>71</v>
      </c>
      <c r="C27" s="2856">
        <f>SUM(D27:E27)</f>
        <v>0</v>
      </c>
      <c r="D27" s="35"/>
      <c r="E27" s="35"/>
    </row>
    <row r="28" spans="1:6" s="30" customFormat="1" ht="19.5" customHeight="1" x14ac:dyDescent="0.25">
      <c r="A28" s="28">
        <v>4</v>
      </c>
      <c r="B28" s="29" t="s">
        <v>162</v>
      </c>
      <c r="C28" s="35">
        <f>SUM(D28:E28)</f>
        <v>1500000</v>
      </c>
      <c r="D28" s="35"/>
      <c r="E28" s="35">
        <f>'68_T342'!D17</f>
        <v>1500000</v>
      </c>
    </row>
    <row r="29" spans="1:6" s="30" customFormat="1" ht="19.5" customHeight="1" x14ac:dyDescent="0.25">
      <c r="A29" s="2864">
        <v>5</v>
      </c>
      <c r="B29" s="2865" t="s">
        <v>2312</v>
      </c>
      <c r="C29" s="2866"/>
      <c r="D29" s="2866"/>
      <c r="E29" s="2866">
        <f>'68_T342'!D20</f>
        <v>2148</v>
      </c>
    </row>
    <row r="30" spans="1:6" ht="19.5" customHeight="1" x14ac:dyDescent="0.25">
      <c r="A30" s="1210" t="s">
        <v>45</v>
      </c>
      <c r="B30" s="1215" t="s">
        <v>559</v>
      </c>
      <c r="C30" s="2875">
        <f>SUM(C31:C33)</f>
        <v>2463038</v>
      </c>
      <c r="D30" s="2875">
        <f t="shared" ref="D30:E30" si="1">SUM(D31:D33)</f>
        <v>38575</v>
      </c>
      <c r="E30" s="2875">
        <f t="shared" si="1"/>
        <v>2424463</v>
      </c>
    </row>
    <row r="31" spans="1:6" ht="19.5" customHeight="1" x14ac:dyDescent="0.25">
      <c r="A31" s="2867">
        <v>1</v>
      </c>
      <c r="B31" s="2868" t="s">
        <v>2310</v>
      </c>
      <c r="C31" s="2869">
        <f>SUM(D31:E31)</f>
        <v>2424463</v>
      </c>
      <c r="D31" s="2876"/>
      <c r="E31" s="2877">
        <f>'68_T342'!D18+'67_TT342'!E18+574463</f>
        <v>2424463</v>
      </c>
    </row>
    <row r="32" spans="1:6" ht="19.5" customHeight="1" x14ac:dyDescent="0.25">
      <c r="A32" s="2860">
        <v>2</v>
      </c>
      <c r="B32" s="2861" t="s">
        <v>422</v>
      </c>
      <c r="C32" s="2856">
        <f t="shared" ref="C32:C33" si="2">SUM(D32:E32)</f>
        <v>0</v>
      </c>
      <c r="D32" s="2878"/>
      <c r="E32" s="2878"/>
    </row>
    <row r="33" spans="1:5" ht="19.5" customHeight="1" x14ac:dyDescent="0.25">
      <c r="A33" s="2862">
        <v>3</v>
      </c>
      <c r="B33" s="2863" t="s">
        <v>2311</v>
      </c>
      <c r="C33" s="37">
        <f t="shared" si="2"/>
        <v>38575</v>
      </c>
      <c r="D33" s="2879">
        <f>D11-'68_T342'!D21-'68_T342'!D22</f>
        <v>38575</v>
      </c>
      <c r="E33" s="2880"/>
    </row>
  </sheetData>
  <mergeCells count="4">
    <mergeCell ref="A2:E2"/>
    <mergeCell ref="A3:E3"/>
    <mergeCell ref="A4:E4"/>
    <mergeCell ref="D1:E1"/>
  </mergeCells>
  <printOptions horizontalCentered="1"/>
  <pageMargins left="0.511811023622047" right="0.31496062992126" top="0.70866141732283505" bottom="0.70866141732283505" header="0.31496062992126" footer="0.31496062992126"/>
  <pageSetup paperSize="9" scale="90" firstPageNumber="77" orientation="portrait"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7B306-46B9-4EAD-886A-7248A1EAEA39}">
  <dimension ref="A1:D26"/>
  <sheetViews>
    <sheetView topLeftCell="A7" workbookViewId="0">
      <selection activeCell="D14" sqref="D14"/>
    </sheetView>
  </sheetViews>
  <sheetFormatPr defaultRowHeight="16.5" x14ac:dyDescent="0.25"/>
  <cols>
    <col min="1" max="1" width="6.85546875" style="1290" customWidth="1"/>
    <col min="2" max="2" width="17.7109375" style="1245" customWidth="1"/>
    <col min="3" max="3" width="63.5703125" style="1245" customWidth="1"/>
    <col min="4" max="4" width="31" style="1304" customWidth="1"/>
    <col min="5" max="256" width="9.140625" style="1245"/>
    <col min="257" max="257" width="6.85546875" style="1245" customWidth="1"/>
    <col min="258" max="258" width="17.7109375" style="1245" customWidth="1"/>
    <col min="259" max="259" width="63.5703125" style="1245" customWidth="1"/>
    <col min="260" max="260" width="31" style="1245" customWidth="1"/>
    <col min="261" max="512" width="9.140625" style="1245"/>
    <col min="513" max="513" width="6.85546875" style="1245" customWidth="1"/>
    <col min="514" max="514" width="17.7109375" style="1245" customWidth="1"/>
    <col min="515" max="515" width="63.5703125" style="1245" customWidth="1"/>
    <col min="516" max="516" width="31" style="1245" customWidth="1"/>
    <col min="517" max="768" width="9.140625" style="1245"/>
    <col min="769" max="769" width="6.85546875" style="1245" customWidth="1"/>
    <col min="770" max="770" width="17.7109375" style="1245" customWidth="1"/>
    <col min="771" max="771" width="63.5703125" style="1245" customWidth="1"/>
    <col min="772" max="772" width="31" style="1245" customWidth="1"/>
    <col min="773" max="1024" width="9.140625" style="1245"/>
    <col min="1025" max="1025" width="6.85546875" style="1245" customWidth="1"/>
    <col min="1026" max="1026" width="17.7109375" style="1245" customWidth="1"/>
    <col min="1027" max="1027" width="63.5703125" style="1245" customWidth="1"/>
    <col min="1028" max="1028" width="31" style="1245" customWidth="1"/>
    <col min="1029" max="1280" width="9.140625" style="1245"/>
    <col min="1281" max="1281" width="6.85546875" style="1245" customWidth="1"/>
    <col min="1282" max="1282" width="17.7109375" style="1245" customWidth="1"/>
    <col min="1283" max="1283" width="63.5703125" style="1245" customWidth="1"/>
    <col min="1284" max="1284" width="31" style="1245" customWidth="1"/>
    <col min="1285" max="1536" width="9.140625" style="1245"/>
    <col min="1537" max="1537" width="6.85546875" style="1245" customWidth="1"/>
    <col min="1538" max="1538" width="17.7109375" style="1245" customWidth="1"/>
    <col min="1539" max="1539" width="63.5703125" style="1245" customWidth="1"/>
    <col min="1540" max="1540" width="31" style="1245" customWidth="1"/>
    <col min="1541" max="1792" width="9.140625" style="1245"/>
    <col min="1793" max="1793" width="6.85546875" style="1245" customWidth="1"/>
    <col min="1794" max="1794" width="17.7109375" style="1245" customWidth="1"/>
    <col min="1795" max="1795" width="63.5703125" style="1245" customWidth="1"/>
    <col min="1796" max="1796" width="31" style="1245" customWidth="1"/>
    <col min="1797" max="2048" width="9.140625" style="1245"/>
    <col min="2049" max="2049" width="6.85546875" style="1245" customWidth="1"/>
    <col min="2050" max="2050" width="17.7109375" style="1245" customWidth="1"/>
    <col min="2051" max="2051" width="63.5703125" style="1245" customWidth="1"/>
    <col min="2052" max="2052" width="31" style="1245" customWidth="1"/>
    <col min="2053" max="2304" width="9.140625" style="1245"/>
    <col min="2305" max="2305" width="6.85546875" style="1245" customWidth="1"/>
    <col min="2306" max="2306" width="17.7109375" style="1245" customWidth="1"/>
    <col min="2307" max="2307" width="63.5703125" style="1245" customWidth="1"/>
    <col min="2308" max="2308" width="31" style="1245" customWidth="1"/>
    <col min="2309" max="2560" width="9.140625" style="1245"/>
    <col min="2561" max="2561" width="6.85546875" style="1245" customWidth="1"/>
    <col min="2562" max="2562" width="17.7109375" style="1245" customWidth="1"/>
    <col min="2563" max="2563" width="63.5703125" style="1245" customWidth="1"/>
    <col min="2564" max="2564" width="31" style="1245" customWidth="1"/>
    <col min="2565" max="2816" width="9.140625" style="1245"/>
    <col min="2817" max="2817" width="6.85546875" style="1245" customWidth="1"/>
    <col min="2818" max="2818" width="17.7109375" style="1245" customWidth="1"/>
    <col min="2819" max="2819" width="63.5703125" style="1245" customWidth="1"/>
    <col min="2820" max="2820" width="31" style="1245" customWidth="1"/>
    <col min="2821" max="3072" width="9.140625" style="1245"/>
    <col min="3073" max="3073" width="6.85546875" style="1245" customWidth="1"/>
    <col min="3074" max="3074" width="17.7109375" style="1245" customWidth="1"/>
    <col min="3075" max="3075" width="63.5703125" style="1245" customWidth="1"/>
    <col min="3076" max="3076" width="31" style="1245" customWidth="1"/>
    <col min="3077" max="3328" width="9.140625" style="1245"/>
    <col min="3329" max="3329" width="6.85546875" style="1245" customWidth="1"/>
    <col min="3330" max="3330" width="17.7109375" style="1245" customWidth="1"/>
    <col min="3331" max="3331" width="63.5703125" style="1245" customWidth="1"/>
    <col min="3332" max="3332" width="31" style="1245" customWidth="1"/>
    <col min="3333" max="3584" width="9.140625" style="1245"/>
    <col min="3585" max="3585" width="6.85546875" style="1245" customWidth="1"/>
    <col min="3586" max="3586" width="17.7109375" style="1245" customWidth="1"/>
    <col min="3587" max="3587" width="63.5703125" style="1245" customWidth="1"/>
    <col min="3588" max="3588" width="31" style="1245" customWidth="1"/>
    <col min="3589" max="3840" width="9.140625" style="1245"/>
    <col min="3841" max="3841" width="6.85546875" style="1245" customWidth="1"/>
    <col min="3842" max="3842" width="17.7109375" style="1245" customWidth="1"/>
    <col min="3843" max="3843" width="63.5703125" style="1245" customWidth="1"/>
    <col min="3844" max="3844" width="31" style="1245" customWidth="1"/>
    <col min="3845" max="4096" width="9.140625" style="1245"/>
    <col min="4097" max="4097" width="6.85546875" style="1245" customWidth="1"/>
    <col min="4098" max="4098" width="17.7109375" style="1245" customWidth="1"/>
    <col min="4099" max="4099" width="63.5703125" style="1245" customWidth="1"/>
    <col min="4100" max="4100" width="31" style="1245" customWidth="1"/>
    <col min="4101" max="4352" width="9.140625" style="1245"/>
    <col min="4353" max="4353" width="6.85546875" style="1245" customWidth="1"/>
    <col min="4354" max="4354" width="17.7109375" style="1245" customWidth="1"/>
    <col min="4355" max="4355" width="63.5703125" style="1245" customWidth="1"/>
    <col min="4356" max="4356" width="31" style="1245" customWidth="1"/>
    <col min="4357" max="4608" width="9.140625" style="1245"/>
    <col min="4609" max="4609" width="6.85546875" style="1245" customWidth="1"/>
    <col min="4610" max="4610" width="17.7109375" style="1245" customWidth="1"/>
    <col min="4611" max="4611" width="63.5703125" style="1245" customWidth="1"/>
    <col min="4612" max="4612" width="31" style="1245" customWidth="1"/>
    <col min="4613" max="4864" width="9.140625" style="1245"/>
    <col min="4865" max="4865" width="6.85546875" style="1245" customWidth="1"/>
    <col min="4866" max="4866" width="17.7109375" style="1245" customWidth="1"/>
    <col min="4867" max="4867" width="63.5703125" style="1245" customWidth="1"/>
    <col min="4868" max="4868" width="31" style="1245" customWidth="1"/>
    <col min="4869" max="5120" width="9.140625" style="1245"/>
    <col min="5121" max="5121" width="6.85546875" style="1245" customWidth="1"/>
    <col min="5122" max="5122" width="17.7109375" style="1245" customWidth="1"/>
    <col min="5123" max="5123" width="63.5703125" style="1245" customWidth="1"/>
    <col min="5124" max="5124" width="31" style="1245" customWidth="1"/>
    <col min="5125" max="5376" width="9.140625" style="1245"/>
    <col min="5377" max="5377" width="6.85546875" style="1245" customWidth="1"/>
    <col min="5378" max="5378" width="17.7109375" style="1245" customWidth="1"/>
    <col min="5379" max="5379" width="63.5703125" style="1245" customWidth="1"/>
    <col min="5380" max="5380" width="31" style="1245" customWidth="1"/>
    <col min="5381" max="5632" width="9.140625" style="1245"/>
    <col min="5633" max="5633" width="6.85546875" style="1245" customWidth="1"/>
    <col min="5634" max="5634" width="17.7109375" style="1245" customWidth="1"/>
    <col min="5635" max="5635" width="63.5703125" style="1245" customWidth="1"/>
    <col min="5636" max="5636" width="31" style="1245" customWidth="1"/>
    <col min="5637" max="5888" width="9.140625" style="1245"/>
    <col min="5889" max="5889" width="6.85546875" style="1245" customWidth="1"/>
    <col min="5890" max="5890" width="17.7109375" style="1245" customWidth="1"/>
    <col min="5891" max="5891" width="63.5703125" style="1245" customWidth="1"/>
    <col min="5892" max="5892" width="31" style="1245" customWidth="1"/>
    <col min="5893" max="6144" width="9.140625" style="1245"/>
    <col min="6145" max="6145" width="6.85546875" style="1245" customWidth="1"/>
    <col min="6146" max="6146" width="17.7109375" style="1245" customWidth="1"/>
    <col min="6147" max="6147" width="63.5703125" style="1245" customWidth="1"/>
    <col min="6148" max="6148" width="31" style="1245" customWidth="1"/>
    <col min="6149" max="6400" width="9.140625" style="1245"/>
    <col min="6401" max="6401" width="6.85546875" style="1245" customWidth="1"/>
    <col min="6402" max="6402" width="17.7109375" style="1245" customWidth="1"/>
    <col min="6403" max="6403" width="63.5703125" style="1245" customWidth="1"/>
    <col min="6404" max="6404" width="31" style="1245" customWidth="1"/>
    <col min="6405" max="6656" width="9.140625" style="1245"/>
    <col min="6657" max="6657" width="6.85546875" style="1245" customWidth="1"/>
    <col min="6658" max="6658" width="17.7109375" style="1245" customWidth="1"/>
    <col min="6659" max="6659" width="63.5703125" style="1245" customWidth="1"/>
    <col min="6660" max="6660" width="31" style="1245" customWidth="1"/>
    <col min="6661" max="6912" width="9.140625" style="1245"/>
    <col min="6913" max="6913" width="6.85546875" style="1245" customWidth="1"/>
    <col min="6914" max="6914" width="17.7109375" style="1245" customWidth="1"/>
    <col min="6915" max="6915" width="63.5703125" style="1245" customWidth="1"/>
    <col min="6916" max="6916" width="31" style="1245" customWidth="1"/>
    <col min="6917" max="7168" width="9.140625" style="1245"/>
    <col min="7169" max="7169" width="6.85546875" style="1245" customWidth="1"/>
    <col min="7170" max="7170" width="17.7109375" style="1245" customWidth="1"/>
    <col min="7171" max="7171" width="63.5703125" style="1245" customWidth="1"/>
    <col min="7172" max="7172" width="31" style="1245" customWidth="1"/>
    <col min="7173" max="7424" width="9.140625" style="1245"/>
    <col min="7425" max="7425" width="6.85546875" style="1245" customWidth="1"/>
    <col min="7426" max="7426" width="17.7109375" style="1245" customWidth="1"/>
    <col min="7427" max="7427" width="63.5703125" style="1245" customWidth="1"/>
    <col min="7428" max="7428" width="31" style="1245" customWidth="1"/>
    <col min="7429" max="7680" width="9.140625" style="1245"/>
    <col min="7681" max="7681" width="6.85546875" style="1245" customWidth="1"/>
    <col min="7682" max="7682" width="17.7109375" style="1245" customWidth="1"/>
    <col min="7683" max="7683" width="63.5703125" style="1245" customWidth="1"/>
    <col min="7684" max="7684" width="31" style="1245" customWidth="1"/>
    <col min="7685" max="7936" width="9.140625" style="1245"/>
    <col min="7937" max="7937" width="6.85546875" style="1245" customWidth="1"/>
    <col min="7938" max="7938" width="17.7109375" style="1245" customWidth="1"/>
    <col min="7939" max="7939" width="63.5703125" style="1245" customWidth="1"/>
    <col min="7940" max="7940" width="31" style="1245" customWidth="1"/>
    <col min="7941" max="8192" width="9.140625" style="1245"/>
    <col min="8193" max="8193" width="6.85546875" style="1245" customWidth="1"/>
    <col min="8194" max="8194" width="17.7109375" style="1245" customWidth="1"/>
    <col min="8195" max="8195" width="63.5703125" style="1245" customWidth="1"/>
    <col min="8196" max="8196" width="31" style="1245" customWidth="1"/>
    <col min="8197" max="8448" width="9.140625" style="1245"/>
    <col min="8449" max="8449" width="6.85546875" style="1245" customWidth="1"/>
    <col min="8450" max="8450" width="17.7109375" style="1245" customWidth="1"/>
    <col min="8451" max="8451" width="63.5703125" style="1245" customWidth="1"/>
    <col min="8452" max="8452" width="31" style="1245" customWidth="1"/>
    <col min="8453" max="8704" width="9.140625" style="1245"/>
    <col min="8705" max="8705" width="6.85546875" style="1245" customWidth="1"/>
    <col min="8706" max="8706" width="17.7109375" style="1245" customWidth="1"/>
    <col min="8707" max="8707" width="63.5703125" style="1245" customWidth="1"/>
    <col min="8708" max="8708" width="31" style="1245" customWidth="1"/>
    <col min="8709" max="8960" width="9.140625" style="1245"/>
    <col min="8961" max="8961" width="6.85546875" style="1245" customWidth="1"/>
    <col min="8962" max="8962" width="17.7109375" style="1245" customWidth="1"/>
    <col min="8963" max="8963" width="63.5703125" style="1245" customWidth="1"/>
    <col min="8964" max="8964" width="31" style="1245" customWidth="1"/>
    <col min="8965" max="9216" width="9.140625" style="1245"/>
    <col min="9217" max="9217" width="6.85546875" style="1245" customWidth="1"/>
    <col min="9218" max="9218" width="17.7109375" style="1245" customWidth="1"/>
    <col min="9219" max="9219" width="63.5703125" style="1245" customWidth="1"/>
    <col min="9220" max="9220" width="31" style="1245" customWidth="1"/>
    <col min="9221" max="9472" width="9.140625" style="1245"/>
    <col min="9473" max="9473" width="6.85546875" style="1245" customWidth="1"/>
    <col min="9474" max="9474" width="17.7109375" style="1245" customWidth="1"/>
    <col min="9475" max="9475" width="63.5703125" style="1245" customWidth="1"/>
    <col min="9476" max="9476" width="31" style="1245" customWidth="1"/>
    <col min="9477" max="9728" width="9.140625" style="1245"/>
    <col min="9729" max="9729" width="6.85546875" style="1245" customWidth="1"/>
    <col min="9730" max="9730" width="17.7109375" style="1245" customWidth="1"/>
    <col min="9731" max="9731" width="63.5703125" style="1245" customWidth="1"/>
    <col min="9732" max="9732" width="31" style="1245" customWidth="1"/>
    <col min="9733" max="9984" width="9.140625" style="1245"/>
    <col min="9985" max="9985" width="6.85546875" style="1245" customWidth="1"/>
    <col min="9986" max="9986" width="17.7109375" style="1245" customWidth="1"/>
    <col min="9987" max="9987" width="63.5703125" style="1245" customWidth="1"/>
    <col min="9988" max="9988" width="31" style="1245" customWidth="1"/>
    <col min="9989" max="10240" width="9.140625" style="1245"/>
    <col min="10241" max="10241" width="6.85546875" style="1245" customWidth="1"/>
    <col min="10242" max="10242" width="17.7109375" style="1245" customWidth="1"/>
    <col min="10243" max="10243" width="63.5703125" style="1245" customWidth="1"/>
    <col min="10244" max="10244" width="31" style="1245" customWidth="1"/>
    <col min="10245" max="10496" width="9.140625" style="1245"/>
    <col min="10497" max="10497" width="6.85546875" style="1245" customWidth="1"/>
    <col min="10498" max="10498" width="17.7109375" style="1245" customWidth="1"/>
    <col min="10499" max="10499" width="63.5703125" style="1245" customWidth="1"/>
    <col min="10500" max="10500" width="31" style="1245" customWidth="1"/>
    <col min="10501" max="10752" width="9.140625" style="1245"/>
    <col min="10753" max="10753" width="6.85546875" style="1245" customWidth="1"/>
    <col min="10754" max="10754" width="17.7109375" style="1245" customWidth="1"/>
    <col min="10755" max="10755" width="63.5703125" style="1245" customWidth="1"/>
    <col min="10756" max="10756" width="31" style="1245" customWidth="1"/>
    <col min="10757" max="11008" width="9.140625" style="1245"/>
    <col min="11009" max="11009" width="6.85546875" style="1245" customWidth="1"/>
    <col min="11010" max="11010" width="17.7109375" style="1245" customWidth="1"/>
    <col min="11011" max="11011" width="63.5703125" style="1245" customWidth="1"/>
    <col min="11012" max="11012" width="31" style="1245" customWidth="1"/>
    <col min="11013" max="11264" width="9.140625" style="1245"/>
    <col min="11265" max="11265" width="6.85546875" style="1245" customWidth="1"/>
    <col min="11266" max="11266" width="17.7109375" style="1245" customWidth="1"/>
    <col min="11267" max="11267" width="63.5703125" style="1245" customWidth="1"/>
    <col min="11268" max="11268" width="31" style="1245" customWidth="1"/>
    <col min="11269" max="11520" width="9.140625" style="1245"/>
    <col min="11521" max="11521" width="6.85546875" style="1245" customWidth="1"/>
    <col min="11522" max="11522" width="17.7109375" style="1245" customWidth="1"/>
    <col min="11523" max="11523" width="63.5703125" style="1245" customWidth="1"/>
    <col min="11524" max="11524" width="31" style="1245" customWidth="1"/>
    <col min="11525" max="11776" width="9.140625" style="1245"/>
    <col min="11777" max="11777" width="6.85546875" style="1245" customWidth="1"/>
    <col min="11778" max="11778" width="17.7109375" style="1245" customWidth="1"/>
    <col min="11779" max="11779" width="63.5703125" style="1245" customWidth="1"/>
    <col min="11780" max="11780" width="31" style="1245" customWidth="1"/>
    <col min="11781" max="12032" width="9.140625" style="1245"/>
    <col min="12033" max="12033" width="6.85546875" style="1245" customWidth="1"/>
    <col min="12034" max="12034" width="17.7109375" style="1245" customWidth="1"/>
    <col min="12035" max="12035" width="63.5703125" style="1245" customWidth="1"/>
    <col min="12036" max="12036" width="31" style="1245" customWidth="1"/>
    <col min="12037" max="12288" width="9.140625" style="1245"/>
    <col min="12289" max="12289" width="6.85546875" style="1245" customWidth="1"/>
    <col min="12290" max="12290" width="17.7109375" style="1245" customWidth="1"/>
    <col min="12291" max="12291" width="63.5703125" style="1245" customWidth="1"/>
    <col min="12292" max="12292" width="31" style="1245" customWidth="1"/>
    <col min="12293" max="12544" width="9.140625" style="1245"/>
    <col min="12545" max="12545" width="6.85546875" style="1245" customWidth="1"/>
    <col min="12546" max="12546" width="17.7109375" style="1245" customWidth="1"/>
    <col min="12547" max="12547" width="63.5703125" style="1245" customWidth="1"/>
    <col min="12548" max="12548" width="31" style="1245" customWidth="1"/>
    <col min="12549" max="12800" width="9.140625" style="1245"/>
    <col min="12801" max="12801" width="6.85546875" style="1245" customWidth="1"/>
    <col min="12802" max="12802" width="17.7109375" style="1245" customWidth="1"/>
    <col min="12803" max="12803" width="63.5703125" style="1245" customWidth="1"/>
    <col min="12804" max="12804" width="31" style="1245" customWidth="1"/>
    <col min="12805" max="13056" width="9.140625" style="1245"/>
    <col min="13057" max="13057" width="6.85546875" style="1245" customWidth="1"/>
    <col min="13058" max="13058" width="17.7109375" style="1245" customWidth="1"/>
    <col min="13059" max="13059" width="63.5703125" style="1245" customWidth="1"/>
    <col min="13060" max="13060" width="31" style="1245" customWidth="1"/>
    <col min="13061" max="13312" width="9.140625" style="1245"/>
    <col min="13313" max="13313" width="6.85546875" style="1245" customWidth="1"/>
    <col min="13314" max="13314" width="17.7109375" style="1245" customWidth="1"/>
    <col min="13315" max="13315" width="63.5703125" style="1245" customWidth="1"/>
    <col min="13316" max="13316" width="31" style="1245" customWidth="1"/>
    <col min="13317" max="13568" width="9.140625" style="1245"/>
    <col min="13569" max="13569" width="6.85546875" style="1245" customWidth="1"/>
    <col min="13570" max="13570" width="17.7109375" style="1245" customWidth="1"/>
    <col min="13571" max="13571" width="63.5703125" style="1245" customWidth="1"/>
    <col min="13572" max="13572" width="31" style="1245" customWidth="1"/>
    <col min="13573" max="13824" width="9.140625" style="1245"/>
    <col min="13825" max="13825" width="6.85546875" style="1245" customWidth="1"/>
    <col min="13826" max="13826" width="17.7109375" style="1245" customWidth="1"/>
    <col min="13827" max="13827" width="63.5703125" style="1245" customWidth="1"/>
    <col min="13828" max="13828" width="31" style="1245" customWidth="1"/>
    <col min="13829" max="14080" width="9.140625" style="1245"/>
    <col min="14081" max="14081" width="6.85546875" style="1245" customWidth="1"/>
    <col min="14082" max="14082" width="17.7109375" style="1245" customWidth="1"/>
    <col min="14083" max="14083" width="63.5703125" style="1245" customWidth="1"/>
    <col min="14084" max="14084" width="31" style="1245" customWidth="1"/>
    <col min="14085" max="14336" width="9.140625" style="1245"/>
    <col min="14337" max="14337" width="6.85546875" style="1245" customWidth="1"/>
    <col min="14338" max="14338" width="17.7109375" style="1245" customWidth="1"/>
    <col min="14339" max="14339" width="63.5703125" style="1245" customWidth="1"/>
    <col min="14340" max="14340" width="31" style="1245" customWidth="1"/>
    <col min="14341" max="14592" width="9.140625" style="1245"/>
    <col min="14593" max="14593" width="6.85546875" style="1245" customWidth="1"/>
    <col min="14594" max="14594" width="17.7109375" style="1245" customWidth="1"/>
    <col min="14595" max="14595" width="63.5703125" style="1245" customWidth="1"/>
    <col min="14596" max="14596" width="31" style="1245" customWidth="1"/>
    <col min="14597" max="14848" width="9.140625" style="1245"/>
    <col min="14849" max="14849" width="6.85546875" style="1245" customWidth="1"/>
    <col min="14850" max="14850" width="17.7109375" style="1245" customWidth="1"/>
    <col min="14851" max="14851" width="63.5703125" style="1245" customWidth="1"/>
    <col min="14852" max="14852" width="31" style="1245" customWidth="1"/>
    <col min="14853" max="15104" width="9.140625" style="1245"/>
    <col min="15105" max="15105" width="6.85546875" style="1245" customWidth="1"/>
    <col min="15106" max="15106" width="17.7109375" style="1245" customWidth="1"/>
    <col min="15107" max="15107" width="63.5703125" style="1245" customWidth="1"/>
    <col min="15108" max="15108" width="31" style="1245" customWidth="1"/>
    <col min="15109" max="15360" width="9.140625" style="1245"/>
    <col min="15361" max="15361" width="6.85546875" style="1245" customWidth="1"/>
    <col min="15362" max="15362" width="17.7109375" style="1245" customWidth="1"/>
    <col min="15363" max="15363" width="63.5703125" style="1245" customWidth="1"/>
    <col min="15364" max="15364" width="31" style="1245" customWidth="1"/>
    <col min="15365" max="15616" width="9.140625" style="1245"/>
    <col min="15617" max="15617" width="6.85546875" style="1245" customWidth="1"/>
    <col min="15618" max="15618" width="17.7109375" style="1245" customWidth="1"/>
    <col min="15619" max="15619" width="63.5703125" style="1245" customWidth="1"/>
    <col min="15620" max="15620" width="31" style="1245" customWidth="1"/>
    <col min="15621" max="15872" width="9.140625" style="1245"/>
    <col min="15873" max="15873" width="6.85546875" style="1245" customWidth="1"/>
    <col min="15874" max="15874" width="17.7109375" style="1245" customWidth="1"/>
    <col min="15875" max="15875" width="63.5703125" style="1245" customWidth="1"/>
    <col min="15876" max="15876" width="31" style="1245" customWidth="1"/>
    <col min="15877" max="16128" width="9.140625" style="1245"/>
    <col min="16129" max="16129" width="6.85546875" style="1245" customWidth="1"/>
    <col min="16130" max="16130" width="17.7109375" style="1245" customWidth="1"/>
    <col min="16131" max="16131" width="63.5703125" style="1245" customWidth="1"/>
    <col min="16132" max="16132" width="31" style="1245" customWidth="1"/>
    <col min="16133" max="16384" width="9.140625" style="1245"/>
  </cols>
  <sheetData>
    <row r="1" spans="1:4" x14ac:dyDescent="0.25">
      <c r="A1" s="3119"/>
      <c r="B1" s="3119"/>
      <c r="C1" s="3119"/>
      <c r="D1" s="3119"/>
    </row>
    <row r="2" spans="1:4" ht="18.75" x14ac:dyDescent="0.3">
      <c r="A2" s="3120" t="s">
        <v>1149</v>
      </c>
      <c r="B2" s="3121"/>
      <c r="C2" s="3121"/>
      <c r="D2" s="3121"/>
    </row>
    <row r="3" spans="1:4" x14ac:dyDescent="0.25">
      <c r="A3" s="3122" t="s">
        <v>1185</v>
      </c>
      <c r="B3" s="3122"/>
      <c r="C3" s="3122"/>
      <c r="D3" s="3122"/>
    </row>
    <row r="5" spans="1:4" ht="19.5" x14ac:dyDescent="0.25">
      <c r="A5" s="1305" t="s">
        <v>0</v>
      </c>
      <c r="B5" s="1305" t="s">
        <v>1150</v>
      </c>
      <c r="C5" s="1305" t="s">
        <v>1</v>
      </c>
      <c r="D5" s="1306" t="s">
        <v>55</v>
      </c>
    </row>
    <row r="6" spans="1:4" s="1307" customFormat="1" ht="44.25" customHeight="1" x14ac:dyDescent="0.25">
      <c r="A6" s="1255" t="s">
        <v>5</v>
      </c>
      <c r="B6" s="3123" t="s">
        <v>1151</v>
      </c>
      <c r="C6" s="3124"/>
      <c r="D6" s="65" t="s">
        <v>982</v>
      </c>
    </row>
    <row r="7" spans="1:4" s="1307" customFormat="1" ht="44.25" customHeight="1" x14ac:dyDescent="0.25">
      <c r="A7" s="1255" t="s">
        <v>11</v>
      </c>
      <c r="B7" s="3125" t="s">
        <v>1152</v>
      </c>
      <c r="C7" s="3126"/>
      <c r="D7" s="65" t="s">
        <v>982</v>
      </c>
    </row>
    <row r="8" spans="1:4" s="1310" customFormat="1" ht="18.75" x14ac:dyDescent="0.25">
      <c r="A8" s="1242">
        <v>1</v>
      </c>
      <c r="B8" s="1308" t="s">
        <v>1153</v>
      </c>
      <c r="C8" s="1309" t="s">
        <v>1154</v>
      </c>
      <c r="D8" s="68"/>
    </row>
    <row r="9" spans="1:4" s="1310" customFormat="1" ht="18.75" x14ac:dyDescent="0.25">
      <c r="A9" s="1242">
        <v>2</v>
      </c>
      <c r="B9" s="1308" t="s">
        <v>1155</v>
      </c>
      <c r="C9" s="1309" t="s">
        <v>1156</v>
      </c>
      <c r="D9" s="68"/>
    </row>
    <row r="10" spans="1:4" s="1310" customFormat="1" ht="47.25" x14ac:dyDescent="0.25">
      <c r="A10" s="1242">
        <v>3</v>
      </c>
      <c r="B10" s="1308" t="s">
        <v>1157</v>
      </c>
      <c r="C10" s="1309" t="s">
        <v>1158</v>
      </c>
      <c r="D10" s="68" t="s">
        <v>1159</v>
      </c>
    </row>
    <row r="11" spans="1:4" s="1310" customFormat="1" ht="18.75" x14ac:dyDescent="0.25">
      <c r="A11" s="1242">
        <v>4</v>
      </c>
      <c r="B11" s="1308" t="s">
        <v>1160</v>
      </c>
      <c r="C11" s="1309" t="s">
        <v>1161</v>
      </c>
      <c r="D11" s="68"/>
    </row>
    <row r="12" spans="1:4" s="1310" customFormat="1" ht="18.75" x14ac:dyDescent="0.25">
      <c r="A12" s="1242">
        <v>5</v>
      </c>
      <c r="B12" s="1308" t="s">
        <v>1162</v>
      </c>
      <c r="C12" s="1309" t="s">
        <v>1163</v>
      </c>
      <c r="D12" s="68"/>
    </row>
    <row r="13" spans="1:4" s="1310" customFormat="1" ht="33" x14ac:dyDescent="0.25">
      <c r="A13" s="1242">
        <v>6</v>
      </c>
      <c r="B13" s="1308" t="s">
        <v>1164</v>
      </c>
      <c r="C13" s="1309" t="s">
        <v>1165</v>
      </c>
      <c r="D13" s="1311"/>
    </row>
    <row r="14" spans="1:4" s="1310" customFormat="1" ht="33" x14ac:dyDescent="0.25">
      <c r="A14" s="1242">
        <v>7</v>
      </c>
      <c r="B14" s="1308" t="s">
        <v>1166</v>
      </c>
      <c r="C14" s="1309" t="s">
        <v>1167</v>
      </c>
      <c r="D14" s="68"/>
    </row>
    <row r="15" spans="1:4" s="1310" customFormat="1" ht="18.75" x14ac:dyDescent="0.25">
      <c r="A15" s="1242">
        <v>8</v>
      </c>
      <c r="B15" s="1308" t="s">
        <v>1168</v>
      </c>
      <c r="C15" s="1309" t="s">
        <v>1169</v>
      </c>
      <c r="D15" s="68"/>
    </row>
    <row r="16" spans="1:4" s="1310" customFormat="1" ht="33" x14ac:dyDescent="0.25">
      <c r="A16" s="1242">
        <v>9</v>
      </c>
      <c r="B16" s="1308" t="s">
        <v>1170</v>
      </c>
      <c r="C16" s="1309" t="s">
        <v>1171</v>
      </c>
      <c r="D16" s="68"/>
    </row>
    <row r="17" spans="1:4" s="1310" customFormat="1" ht="18.75" x14ac:dyDescent="0.25">
      <c r="A17" s="1242">
        <v>10</v>
      </c>
      <c r="B17" s="1308" t="s">
        <v>1172</v>
      </c>
      <c r="C17" s="1309" t="s">
        <v>1173</v>
      </c>
      <c r="D17" s="68"/>
    </row>
    <row r="18" spans="1:4" s="1310" customFormat="1" ht="47.25" x14ac:dyDescent="0.25">
      <c r="A18" s="1242">
        <v>11</v>
      </c>
      <c r="B18" s="1308" t="s">
        <v>1047</v>
      </c>
      <c r="C18" s="1309" t="s">
        <v>1174</v>
      </c>
      <c r="D18" s="1052" t="s">
        <v>1175</v>
      </c>
    </row>
    <row r="19" spans="1:4" s="1312" customFormat="1" ht="18.75" x14ac:dyDescent="0.3">
      <c r="A19" s="1255" t="s">
        <v>17</v>
      </c>
      <c r="B19" s="3118" t="s">
        <v>1176</v>
      </c>
      <c r="C19" s="3118"/>
      <c r="D19" s="65" t="s">
        <v>982</v>
      </c>
    </row>
    <row r="20" spans="1:4" s="1312" customFormat="1" ht="18.75" x14ac:dyDescent="0.3">
      <c r="A20" s="1242">
        <v>1</v>
      </c>
      <c r="B20" s="1313" t="s">
        <v>1070</v>
      </c>
      <c r="C20" s="1243" t="s">
        <v>1177</v>
      </c>
      <c r="D20" s="68"/>
    </row>
    <row r="21" spans="1:4" s="1312" customFormat="1" ht="33" x14ac:dyDescent="0.3">
      <c r="A21" s="1242">
        <v>2</v>
      </c>
      <c r="B21" s="1313" t="s">
        <v>1076</v>
      </c>
      <c r="C21" s="1243" t="s">
        <v>1178</v>
      </c>
      <c r="D21" s="1052"/>
    </row>
    <row r="22" spans="1:4" s="1312" customFormat="1" ht="18.75" x14ac:dyDescent="0.3">
      <c r="A22" s="1242">
        <v>3</v>
      </c>
      <c r="B22" s="1313" t="s">
        <v>1085</v>
      </c>
      <c r="C22" s="1314" t="s">
        <v>1179</v>
      </c>
      <c r="D22" s="1315"/>
    </row>
    <row r="23" spans="1:4" s="1312" customFormat="1" ht="18.75" x14ac:dyDescent="0.3">
      <c r="A23" s="1242">
        <v>4</v>
      </c>
      <c r="B23" s="1313" t="s">
        <v>1090</v>
      </c>
      <c r="C23" s="1314" t="s">
        <v>1180</v>
      </c>
      <c r="D23" s="1315"/>
    </row>
    <row r="24" spans="1:4" s="1312" customFormat="1" ht="47.25" x14ac:dyDescent="0.3">
      <c r="A24" s="1242">
        <v>5</v>
      </c>
      <c r="B24" s="1313" t="s">
        <v>1096</v>
      </c>
      <c r="C24" s="1314" t="s">
        <v>1181</v>
      </c>
      <c r="D24" s="1315" t="s">
        <v>1182</v>
      </c>
    </row>
    <row r="25" spans="1:4" s="1312" customFormat="1" ht="18.75" x14ac:dyDescent="0.3">
      <c r="A25" s="1242">
        <v>6</v>
      </c>
      <c r="B25" s="1313" t="s">
        <v>1125</v>
      </c>
      <c r="C25" s="1314" t="s">
        <v>1183</v>
      </c>
      <c r="D25" s="1315"/>
    </row>
    <row r="26" spans="1:4" s="1312" customFormat="1" ht="18.75" x14ac:dyDescent="0.3">
      <c r="A26" s="1316">
        <v>7</v>
      </c>
      <c r="B26" s="1317" t="s">
        <v>1137</v>
      </c>
      <c r="C26" s="1244" t="s">
        <v>1184</v>
      </c>
      <c r="D26" s="1053"/>
    </row>
  </sheetData>
  <mergeCells count="6">
    <mergeCell ref="B19:C19"/>
    <mergeCell ref="A1:D1"/>
    <mergeCell ref="A2:D2"/>
    <mergeCell ref="A3:D3"/>
    <mergeCell ref="B6:C6"/>
    <mergeCell ref="B7:C7"/>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3" tint="0.39997558519241921"/>
  </sheetPr>
  <dimension ref="A1:R24"/>
  <sheetViews>
    <sheetView view="pageBreakPreview" zoomScale="90" zoomScaleNormal="90" zoomScaleSheetLayoutView="90" workbookViewId="0">
      <pane xSplit="2" ySplit="6" topLeftCell="C13" activePane="bottomRight" state="frozen"/>
      <selection pane="topRight" activeCell="C1" sqref="C1"/>
      <selection pane="bottomLeft" activeCell="A7" sqref="A7"/>
      <selection pane="bottomRight" activeCell="B22" sqref="B22"/>
    </sheetView>
  </sheetViews>
  <sheetFormatPr defaultColWidth="8.85546875" defaultRowHeight="15" x14ac:dyDescent="0.25"/>
  <cols>
    <col min="1" max="1" width="6.42578125" style="36" customWidth="1"/>
    <col min="2" max="2" width="51.28515625" style="310" customWidth="1"/>
    <col min="3" max="3" width="13.28515625" style="36" customWidth="1"/>
    <col min="4" max="4" width="12.85546875" style="36" customWidth="1"/>
    <col min="5" max="5" width="10.28515625" style="36" customWidth="1"/>
    <col min="6" max="6" width="9.28515625" style="36" customWidth="1"/>
    <col min="7" max="7" width="40" style="286" customWidth="1"/>
    <col min="8" max="8" width="13.5703125" style="36" hidden="1" customWidth="1"/>
    <col min="9" max="9" width="14.7109375" style="36" hidden="1" customWidth="1"/>
    <col min="10" max="10" width="13" style="36" hidden="1" customWidth="1"/>
    <col min="11" max="11" width="16.85546875" style="36" hidden="1" customWidth="1"/>
    <col min="12" max="18" width="9.140625" style="36" hidden="1" customWidth="1"/>
    <col min="19" max="19" width="9.140625" style="36" customWidth="1"/>
    <col min="20" max="20" width="8.85546875" style="36" customWidth="1"/>
    <col min="21" max="16384" width="8.85546875" style="36"/>
  </cols>
  <sheetData>
    <row r="1" spans="1:11" ht="25.5" customHeight="1" x14ac:dyDescent="0.25">
      <c r="A1" s="244" t="str">
        <f>'48_NĐ31'!A1</f>
        <v xml:space="preserve">UBND PHƯỜNG BẮC KẠN </v>
      </c>
      <c r="G1" s="3132" t="s">
        <v>1045</v>
      </c>
      <c r="H1" s="3132"/>
    </row>
    <row r="2" spans="1:11" ht="25.5" customHeight="1" x14ac:dyDescent="0.25">
      <c r="A2" s="3132" t="s">
        <v>1987</v>
      </c>
      <c r="B2" s="3132"/>
      <c r="C2" s="3132"/>
      <c r="D2" s="3132"/>
      <c r="E2" s="3132"/>
      <c r="F2" s="3132"/>
      <c r="G2" s="3132"/>
    </row>
    <row r="3" spans="1:11" ht="23.25" customHeight="1" x14ac:dyDescent="0.25">
      <c r="A3" s="3172" t="str">
        <f>'48_NĐ31'!A4:G4</f>
        <v>(Kèm theo Quyết định số          /QĐ-UBND ngày          /4/2026 của UBND phường Bắc Kạn)</v>
      </c>
      <c r="B3" s="3172"/>
      <c r="C3" s="3172"/>
      <c r="D3" s="3172"/>
      <c r="E3" s="3172"/>
      <c r="F3" s="3172"/>
      <c r="G3" s="3172"/>
    </row>
    <row r="4" spans="1:11" ht="19.5" customHeight="1" x14ac:dyDescent="0.25">
      <c r="G4" s="440" t="s">
        <v>1187</v>
      </c>
    </row>
    <row r="5" spans="1:11" s="102" customFormat="1" ht="19.5" customHeight="1" x14ac:dyDescent="0.25">
      <c r="A5" s="3134" t="s">
        <v>0</v>
      </c>
      <c r="B5" s="3134" t="s">
        <v>1</v>
      </c>
      <c r="C5" s="3134" t="s">
        <v>13</v>
      </c>
      <c r="D5" s="3134" t="s">
        <v>47</v>
      </c>
      <c r="E5" s="3134"/>
      <c r="F5" s="3134"/>
      <c r="G5" s="3134" t="s">
        <v>55</v>
      </c>
    </row>
    <row r="6" spans="1:11" s="377" customFormat="1" ht="57" customHeight="1" x14ac:dyDescent="0.25">
      <c r="A6" s="3134"/>
      <c r="B6" s="3134"/>
      <c r="C6" s="3134"/>
      <c r="D6" s="5" t="s">
        <v>163</v>
      </c>
      <c r="E6" s="5" t="s">
        <v>693</v>
      </c>
      <c r="F6" s="5" t="s">
        <v>164</v>
      </c>
      <c r="G6" s="3134"/>
    </row>
    <row r="7" spans="1:11" s="102" customFormat="1" ht="22.15" customHeight="1" x14ac:dyDescent="0.25">
      <c r="A7" s="252" t="s">
        <v>3</v>
      </c>
      <c r="B7" s="252" t="s">
        <v>4</v>
      </c>
      <c r="C7" s="252">
        <v>1</v>
      </c>
      <c r="D7" s="252">
        <v>2</v>
      </c>
      <c r="E7" s="252">
        <v>3</v>
      </c>
      <c r="F7" s="252">
        <v>4</v>
      </c>
      <c r="G7" s="252">
        <v>5</v>
      </c>
    </row>
    <row r="8" spans="1:11" s="377" customFormat="1" ht="27" customHeight="1" x14ac:dyDescent="0.25">
      <c r="A8" s="5" t="s">
        <v>3</v>
      </c>
      <c r="B8" s="84" t="s">
        <v>152</v>
      </c>
      <c r="C8" s="85">
        <f>SUM(D8:F8)</f>
        <v>8905000</v>
      </c>
      <c r="D8" s="85">
        <f>'67_TT342'!F8</f>
        <v>8905000</v>
      </c>
      <c r="E8" s="85"/>
      <c r="F8" s="85"/>
      <c r="G8" s="2324"/>
      <c r="H8" s="2430">
        <f>D8-D9</f>
        <v>2463038</v>
      </c>
    </row>
    <row r="9" spans="1:11" s="377" customFormat="1" ht="37.5" customHeight="1" x14ac:dyDescent="0.25">
      <c r="A9" s="5" t="s">
        <v>4</v>
      </c>
      <c r="B9" s="84" t="s">
        <v>160</v>
      </c>
      <c r="C9" s="85">
        <f>SUM(D9:F9)</f>
        <v>6441962</v>
      </c>
      <c r="D9" s="85">
        <f>SUM(D10:D12)</f>
        <v>6441962</v>
      </c>
      <c r="E9" s="85">
        <f>SUM(E10:E12)</f>
        <v>0</v>
      </c>
      <c r="F9" s="85"/>
      <c r="G9" s="2324"/>
      <c r="H9" s="2430"/>
    </row>
    <row r="10" spans="1:11" s="377" customFormat="1" ht="27" customHeight="1" x14ac:dyDescent="0.25">
      <c r="A10" s="5" t="s">
        <v>5</v>
      </c>
      <c r="B10" s="84" t="s">
        <v>161</v>
      </c>
      <c r="C10" s="85"/>
      <c r="D10" s="85"/>
      <c r="E10" s="85"/>
      <c r="F10" s="85"/>
      <c r="G10" s="2324"/>
      <c r="H10" s="2430"/>
    </row>
    <row r="11" spans="1:11" s="377" customFormat="1" ht="37.5" customHeight="1" x14ac:dyDescent="0.25">
      <c r="A11" s="5" t="s">
        <v>11</v>
      </c>
      <c r="B11" s="84" t="s">
        <v>165</v>
      </c>
      <c r="C11" s="85"/>
      <c r="D11" s="85"/>
      <c r="E11" s="85"/>
      <c r="F11" s="85"/>
      <c r="G11" s="2324"/>
    </row>
    <row r="12" spans="1:11" s="377" customFormat="1" ht="27" customHeight="1" x14ac:dyDescent="0.25">
      <c r="A12" s="5" t="s">
        <v>17</v>
      </c>
      <c r="B12" s="84" t="s">
        <v>28</v>
      </c>
      <c r="C12" s="85">
        <f>C13+C14</f>
        <v>6441962</v>
      </c>
      <c r="D12" s="85">
        <f>D13+D14</f>
        <v>6441962</v>
      </c>
      <c r="E12" s="85">
        <f>SUM(E13:E15)</f>
        <v>0</v>
      </c>
      <c r="F12" s="85"/>
      <c r="G12" s="2324"/>
      <c r="H12" s="2431"/>
      <c r="I12" s="2431"/>
    </row>
    <row r="13" spans="1:11" s="2436" customFormat="1" ht="27" customHeight="1" x14ac:dyDescent="0.25">
      <c r="A13" s="2433">
        <v>1</v>
      </c>
      <c r="B13" s="2443" t="s">
        <v>2129</v>
      </c>
      <c r="C13" s="2434">
        <f t="shared" ref="C13:C15" si="0">SUM(D13:F13)</f>
        <v>4044500</v>
      </c>
      <c r="D13" s="2434">
        <v>4044500</v>
      </c>
      <c r="E13" s="2434"/>
      <c r="F13" s="2434"/>
      <c r="G13" s="2437"/>
      <c r="H13" s="2435"/>
    </row>
    <row r="14" spans="1:11" s="2442" customFormat="1" ht="27" customHeight="1" x14ac:dyDescent="0.25">
      <c r="A14" s="2433">
        <v>2</v>
      </c>
      <c r="B14" s="2443" t="s">
        <v>2130</v>
      </c>
      <c r="C14" s="2434">
        <f>SUM(D14:F14)</f>
        <v>2397462</v>
      </c>
      <c r="D14" s="2434">
        <f>SUM(D15:D22)-D18</f>
        <v>2397462</v>
      </c>
      <c r="E14" s="2434"/>
      <c r="F14" s="2434"/>
      <c r="G14" s="2437"/>
      <c r="H14" s="2438"/>
      <c r="I14" s="2439"/>
      <c r="J14" s="2440"/>
      <c r="K14" s="2441"/>
    </row>
    <row r="15" spans="1:11" s="102" customFormat="1" ht="53.25" customHeight="1" x14ac:dyDescent="0.25">
      <c r="A15" s="252" t="s">
        <v>1000</v>
      </c>
      <c r="B15" s="2444" t="s">
        <v>2131</v>
      </c>
      <c r="C15" s="116">
        <f t="shared" si="0"/>
        <v>250000</v>
      </c>
      <c r="D15" s="116">
        <v>250000</v>
      </c>
      <c r="E15" s="116"/>
      <c r="F15" s="116"/>
      <c r="G15" s="2445" t="s">
        <v>2136</v>
      </c>
      <c r="H15" s="2432"/>
      <c r="I15" s="1208"/>
    </row>
    <row r="16" spans="1:11" s="102" customFormat="1" ht="36" customHeight="1" x14ac:dyDescent="0.25">
      <c r="A16" s="252" t="s">
        <v>1000</v>
      </c>
      <c r="B16" s="2444" t="s">
        <v>2132</v>
      </c>
      <c r="C16" s="116">
        <f t="shared" ref="C16:C22" si="1">SUM(D16:F16)</f>
        <v>270000</v>
      </c>
      <c r="D16" s="116">
        <v>270000</v>
      </c>
      <c r="E16" s="116"/>
      <c r="F16" s="116"/>
      <c r="G16" s="2445" t="s">
        <v>2135</v>
      </c>
      <c r="H16" s="2432"/>
      <c r="I16" s="1208"/>
    </row>
    <row r="17" spans="1:11" s="102" customFormat="1" ht="75" customHeight="1" x14ac:dyDescent="0.25">
      <c r="A17" s="252" t="s">
        <v>1000</v>
      </c>
      <c r="B17" s="2446" t="s">
        <v>2133</v>
      </c>
      <c r="C17" s="116">
        <f t="shared" si="1"/>
        <v>1500000</v>
      </c>
      <c r="D17" s="116">
        <v>1500000</v>
      </c>
      <c r="E17" s="116"/>
      <c r="F17" s="116"/>
      <c r="G17" s="2445" t="s">
        <v>2134</v>
      </c>
      <c r="H17" s="2432"/>
      <c r="I17" s="1208"/>
    </row>
    <row r="18" spans="1:11" s="102" customFormat="1" ht="47.25" hidden="1" x14ac:dyDescent="0.25">
      <c r="A18" s="252" t="s">
        <v>1000</v>
      </c>
      <c r="B18" s="452" t="s">
        <v>2300</v>
      </c>
      <c r="C18" s="116">
        <f t="shared" si="1"/>
        <v>850000</v>
      </c>
      <c r="D18" s="2858">
        <v>850000</v>
      </c>
      <c r="E18" s="1456"/>
      <c r="F18" s="1456"/>
      <c r="G18" s="3304" t="s">
        <v>2303</v>
      </c>
    </row>
    <row r="19" spans="1:11" s="102" customFormat="1" ht="36.75" customHeight="1" x14ac:dyDescent="0.25">
      <c r="A19" s="252" t="s">
        <v>1000</v>
      </c>
      <c r="B19" s="452" t="s">
        <v>2301</v>
      </c>
      <c r="C19" s="116">
        <f t="shared" si="1"/>
        <v>112889</v>
      </c>
      <c r="D19" s="1529">
        <v>112889</v>
      </c>
      <c r="E19" s="2855"/>
      <c r="F19" s="2855"/>
      <c r="G19" s="3304"/>
    </row>
    <row r="20" spans="1:11" s="102" customFormat="1" ht="21.75" customHeight="1" x14ac:dyDescent="0.25">
      <c r="A20" s="252" t="s">
        <v>1000</v>
      </c>
      <c r="B20" s="1368" t="s">
        <v>2302</v>
      </c>
      <c r="C20" s="116">
        <f t="shared" si="1"/>
        <v>2148</v>
      </c>
      <c r="D20" s="1541">
        <v>2148</v>
      </c>
      <c r="E20" s="2343"/>
      <c r="F20" s="2343"/>
      <c r="G20" s="3304"/>
    </row>
    <row r="21" spans="1:11" s="102" customFormat="1" ht="50.25" customHeight="1" x14ac:dyDescent="0.25">
      <c r="A21" s="252" t="s">
        <v>1000</v>
      </c>
      <c r="B21" s="619" t="s">
        <v>2308</v>
      </c>
      <c r="C21" s="116">
        <f t="shared" si="1"/>
        <v>243075</v>
      </c>
      <c r="D21" s="1541">
        <v>243075</v>
      </c>
      <c r="E21" s="2343"/>
      <c r="F21" s="2343"/>
      <c r="G21" s="3302" t="s">
        <v>2309</v>
      </c>
    </row>
    <row r="22" spans="1:11" s="102" customFormat="1" ht="37.5" customHeight="1" x14ac:dyDescent="0.25">
      <c r="A22" s="252" t="s">
        <v>1000</v>
      </c>
      <c r="B22" s="619" t="s">
        <v>2307</v>
      </c>
      <c r="C22" s="116">
        <f t="shared" si="1"/>
        <v>19350</v>
      </c>
      <c r="D22" s="1541">
        <v>19350</v>
      </c>
      <c r="E22" s="2343"/>
      <c r="F22" s="2343"/>
      <c r="G22" s="3303"/>
    </row>
    <row r="24" spans="1:11" x14ac:dyDescent="0.25">
      <c r="K24" s="172"/>
    </row>
  </sheetData>
  <mergeCells count="10">
    <mergeCell ref="G21:G22"/>
    <mergeCell ref="G1:H1"/>
    <mergeCell ref="A2:G2"/>
    <mergeCell ref="A3:G3"/>
    <mergeCell ref="A5:A6"/>
    <mergeCell ref="B5:B6"/>
    <mergeCell ref="C5:C6"/>
    <mergeCell ref="D5:F5"/>
    <mergeCell ref="G5:G6"/>
    <mergeCell ref="G18:G20"/>
  </mergeCells>
  <printOptions horizontalCentered="1"/>
  <pageMargins left="0.44685039399999998" right="0.36811023599999998" top="0.55118110236220497" bottom="0.47244094488188998" header="0.31496062992126" footer="0.31496062992126"/>
  <pageSetup paperSize="9" scale="67" firstPageNumber="78" orientation="portrait" useFirstPageNumber="1" r:id="rId1"/>
  <headerFooter>
    <oddFooter>&amp;C&amp;P</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L40"/>
  <sheetViews>
    <sheetView view="pageBreakPreview" zoomScale="90" zoomScaleNormal="100" zoomScaleSheetLayoutView="90" workbookViewId="0">
      <pane xSplit="2" ySplit="6" topLeftCell="C23" activePane="bottomRight" state="frozen"/>
      <selection pane="topRight" activeCell="C1" sqref="C1"/>
      <selection pane="bottomLeft" activeCell="A9" sqref="A9"/>
      <selection pane="bottomRight" activeCell="B40" sqref="B40"/>
    </sheetView>
  </sheetViews>
  <sheetFormatPr defaultRowHeight="15" x14ac:dyDescent="0.25"/>
  <cols>
    <col min="1" max="1" width="5.42578125" customWidth="1"/>
    <col min="2" max="2" width="32.140625" customWidth="1"/>
    <col min="3" max="3" width="9.42578125" customWidth="1"/>
    <col min="4" max="4" width="15.140625" customWidth="1"/>
    <col min="5" max="5" width="10.7109375" customWidth="1"/>
    <col min="6" max="6" width="14.7109375" customWidth="1"/>
    <col min="7" max="7" width="8.140625" customWidth="1"/>
    <col min="8" max="8" width="13.7109375" customWidth="1"/>
    <col min="9" max="9" width="14.7109375" customWidth="1"/>
    <col min="11" max="11" width="13.7109375" customWidth="1"/>
  </cols>
  <sheetData>
    <row r="1" spans="1:12" s="2429" customFormat="1" ht="20.25" customHeight="1" x14ac:dyDescent="0.25">
      <c r="A1" s="2428" t="str">
        <f>'48_NĐ31'!A1</f>
        <v xml:space="preserve">UBND PHƯỜNG BẮC KẠN </v>
      </c>
      <c r="H1" s="3132" t="s">
        <v>1046</v>
      </c>
      <c r="I1" s="3132"/>
    </row>
    <row r="2" spans="1:12" ht="30" customHeight="1" x14ac:dyDescent="0.25">
      <c r="A2" s="3306" t="s">
        <v>2091</v>
      </c>
      <c r="B2" s="3306"/>
      <c r="C2" s="3306"/>
      <c r="D2" s="3306"/>
      <c r="E2" s="3306"/>
      <c r="F2" s="3306"/>
      <c r="G2" s="3306"/>
      <c r="H2" s="3306"/>
      <c r="I2" s="3306"/>
      <c r="K2" s="100"/>
    </row>
    <row r="3" spans="1:12" ht="22.5" customHeight="1" x14ac:dyDescent="0.25">
      <c r="A3" s="3301" t="str">
        <f>'48_NĐ31'!A4:G4</f>
        <v>(Kèm theo Quyết định số          /QĐ-UBND ngày          /4/2026 của UBND phường Bắc Kạn)</v>
      </c>
      <c r="B3" s="3301"/>
      <c r="C3" s="3301"/>
      <c r="D3" s="3301"/>
      <c r="E3" s="3301"/>
      <c r="F3" s="3301"/>
      <c r="G3" s="3301"/>
      <c r="H3" s="3301"/>
      <c r="I3" s="3301"/>
    </row>
    <row r="4" spans="1:12" ht="30" customHeight="1" x14ac:dyDescent="0.25">
      <c r="I4" s="33" t="s">
        <v>1187</v>
      </c>
    </row>
    <row r="5" spans="1:12" s="25" customFormat="1" ht="30" customHeight="1" x14ac:dyDescent="0.2">
      <c r="A5" s="3305" t="s">
        <v>0</v>
      </c>
      <c r="B5" s="3305" t="s">
        <v>1</v>
      </c>
      <c r="C5" s="3305" t="s">
        <v>166</v>
      </c>
      <c r="D5" s="3305"/>
      <c r="E5" s="3269" t="s">
        <v>2126</v>
      </c>
      <c r="F5" s="3269"/>
      <c r="G5" s="3305" t="s">
        <v>167</v>
      </c>
      <c r="H5" s="3305"/>
      <c r="I5" s="3305" t="s">
        <v>55</v>
      </c>
    </row>
    <row r="6" spans="1:12" s="25" customFormat="1" ht="30" customHeight="1" x14ac:dyDescent="0.2">
      <c r="A6" s="3305"/>
      <c r="B6" s="3305"/>
      <c r="C6" s="26" t="s">
        <v>168</v>
      </c>
      <c r="D6" s="26" t="s">
        <v>169</v>
      </c>
      <c r="E6" s="26" t="s">
        <v>168</v>
      </c>
      <c r="F6" s="26" t="s">
        <v>169</v>
      </c>
      <c r="G6" s="26" t="s">
        <v>168</v>
      </c>
      <c r="H6" s="26" t="s">
        <v>169</v>
      </c>
      <c r="I6" s="3305"/>
    </row>
    <row r="7" spans="1:12" s="2815" customFormat="1" ht="52.5" customHeight="1" x14ac:dyDescent="0.25">
      <c r="A7" s="2810" t="s">
        <v>5</v>
      </c>
      <c r="B7" s="2811" t="s">
        <v>587</v>
      </c>
      <c r="C7" s="2812"/>
      <c r="D7" s="2813">
        <f>D9+D13+D19</f>
        <v>151016.76800000001</v>
      </c>
      <c r="E7" s="2813"/>
      <c r="F7" s="2813">
        <f>F9+F13+F19</f>
        <v>151016.76800000001</v>
      </c>
      <c r="G7" s="3059">
        <f t="shared" ref="G7:H8" si="0">G9+G13+G19</f>
        <v>0</v>
      </c>
      <c r="H7" s="3059">
        <f t="shared" si="0"/>
        <v>0</v>
      </c>
      <c r="I7" s="2814"/>
    </row>
    <row r="8" spans="1:12" s="27" customFormat="1" ht="33" customHeight="1" x14ac:dyDescent="0.2">
      <c r="A8" s="1216">
        <v>1</v>
      </c>
      <c r="B8" s="2417" t="s">
        <v>170</v>
      </c>
      <c r="C8" s="32"/>
      <c r="D8" s="2427">
        <f>SUM(D9)</f>
        <v>151016.76800000001</v>
      </c>
      <c r="E8" s="2427"/>
      <c r="F8" s="2427">
        <f>SUM(F9)</f>
        <v>151016.76800000001</v>
      </c>
      <c r="G8" s="2874">
        <f t="shared" ref="G8" si="1">SUM(G9)</f>
        <v>0</v>
      </c>
      <c r="H8" s="2874">
        <f t="shared" si="0"/>
        <v>0</v>
      </c>
      <c r="I8" s="2420"/>
    </row>
    <row r="9" spans="1:12" s="1" customFormat="1" ht="249" customHeight="1" x14ac:dyDescent="0.25">
      <c r="A9" s="1224" t="s">
        <v>30</v>
      </c>
      <c r="B9" s="2418" t="s">
        <v>2127</v>
      </c>
      <c r="C9" s="2421"/>
      <c r="D9" s="2422">
        <v>151016.76800000001</v>
      </c>
      <c r="E9" s="2422"/>
      <c r="F9" s="2422">
        <f>D9</f>
        <v>151016.76800000001</v>
      </c>
      <c r="G9" s="3060"/>
      <c r="H9" s="3060"/>
      <c r="I9" s="2809" t="s">
        <v>2128</v>
      </c>
    </row>
    <row r="10" spans="1:12" s="1" customFormat="1" ht="33" customHeight="1" x14ac:dyDescent="0.25">
      <c r="A10" s="1216">
        <v>2</v>
      </c>
      <c r="B10" s="2417" t="s">
        <v>2107</v>
      </c>
      <c r="C10" s="2421"/>
      <c r="D10" s="2423"/>
      <c r="E10" s="2423"/>
      <c r="F10" s="2423"/>
      <c r="G10" s="3061"/>
      <c r="H10" s="3061"/>
      <c r="I10" s="2420"/>
    </row>
    <row r="11" spans="1:12" s="1" customFormat="1" ht="30" hidden="1" customHeight="1" x14ac:dyDescent="0.25">
      <c r="A11" s="1216"/>
      <c r="B11" s="2418" t="s">
        <v>2108</v>
      </c>
      <c r="C11" s="2421"/>
      <c r="D11" s="2423"/>
      <c r="E11" s="2423"/>
      <c r="F11" s="2423"/>
      <c r="G11" s="3061"/>
      <c r="H11" s="3061"/>
      <c r="I11" s="2420"/>
    </row>
    <row r="12" spans="1:12" s="1" customFormat="1" ht="30" hidden="1" customHeight="1" x14ac:dyDescent="0.25">
      <c r="A12" s="1216"/>
      <c r="B12" s="2418" t="s">
        <v>2109</v>
      </c>
      <c r="C12" s="2421"/>
      <c r="D12" s="2423"/>
      <c r="E12" s="2423"/>
      <c r="F12" s="2423"/>
      <c r="G12" s="3061"/>
      <c r="H12" s="3061"/>
      <c r="I12" s="2420"/>
    </row>
    <row r="13" spans="1:12" s="27" customFormat="1" ht="30" hidden="1" customHeight="1" x14ac:dyDescent="0.2">
      <c r="A13" s="1216">
        <v>3</v>
      </c>
      <c r="B13" s="2417" t="s">
        <v>2110</v>
      </c>
      <c r="C13" s="32"/>
      <c r="D13" s="32">
        <f>SUM(D14)</f>
        <v>0</v>
      </c>
      <c r="E13" s="32"/>
      <c r="F13" s="32"/>
      <c r="G13" s="2874">
        <f t="shared" ref="G13:H13" si="2">SUM(G14)</f>
        <v>0</v>
      </c>
      <c r="H13" s="2874">
        <f t="shared" si="2"/>
        <v>0</v>
      </c>
      <c r="I13" s="2420"/>
    </row>
    <row r="14" spans="1:12" s="1" customFormat="1" ht="30" hidden="1" customHeight="1" x14ac:dyDescent="0.25">
      <c r="A14" s="1216" t="s">
        <v>30</v>
      </c>
      <c r="B14" s="2417" t="s">
        <v>2111</v>
      </c>
      <c r="C14" s="2421"/>
      <c r="D14" s="2422"/>
      <c r="E14" s="2422"/>
      <c r="F14" s="2422"/>
      <c r="G14" s="3060"/>
      <c r="H14" s="3060"/>
      <c r="I14" s="2420"/>
      <c r="K14" s="1">
        <v>36.799999999999997</v>
      </c>
    </row>
    <row r="15" spans="1:12" s="1" customFormat="1" ht="30" hidden="1" customHeight="1" x14ac:dyDescent="0.25">
      <c r="A15" s="1216"/>
      <c r="B15" s="2418" t="s">
        <v>2112</v>
      </c>
      <c r="C15" s="2421"/>
      <c r="D15" s="2424"/>
      <c r="E15" s="2424"/>
      <c r="F15" s="2424"/>
      <c r="G15" s="3061"/>
      <c r="H15" s="3061"/>
      <c r="I15" s="2420"/>
      <c r="K15" s="34" t="e">
        <f>#REF!-K14</f>
        <v>#REF!</v>
      </c>
      <c r="L15" s="1">
        <v>94</v>
      </c>
    </row>
    <row r="16" spans="1:12" s="1" customFormat="1" ht="30" hidden="1" customHeight="1" x14ac:dyDescent="0.25">
      <c r="A16" s="1216"/>
      <c r="B16" s="2418" t="s">
        <v>2113</v>
      </c>
      <c r="C16" s="2421"/>
      <c r="D16" s="2424"/>
      <c r="E16" s="2424"/>
      <c r="F16" s="2424"/>
      <c r="G16" s="3061"/>
      <c r="H16" s="3061"/>
      <c r="I16" s="2420"/>
      <c r="L16" s="34" t="e">
        <f>#REF!-L15</f>
        <v>#REF!</v>
      </c>
    </row>
    <row r="17" spans="1:9" s="1" customFormat="1" ht="30" hidden="1" customHeight="1" x14ac:dyDescent="0.25">
      <c r="A17" s="1216" t="s">
        <v>31</v>
      </c>
      <c r="B17" s="2417" t="s">
        <v>2114</v>
      </c>
      <c r="C17" s="2421"/>
      <c r="D17" s="2424"/>
      <c r="E17" s="2424"/>
      <c r="F17" s="2424"/>
      <c r="G17" s="3061"/>
      <c r="H17" s="3061"/>
      <c r="I17" s="2420"/>
    </row>
    <row r="18" spans="1:9" s="1" customFormat="1" ht="30" hidden="1" customHeight="1" x14ac:dyDescent="0.25">
      <c r="A18" s="1216"/>
      <c r="B18" s="2418" t="s">
        <v>2112</v>
      </c>
      <c r="C18" s="2421"/>
      <c r="D18" s="2424"/>
      <c r="E18" s="2424"/>
      <c r="F18" s="2424"/>
      <c r="G18" s="3061"/>
      <c r="H18" s="3061"/>
      <c r="I18" s="2420"/>
    </row>
    <row r="19" spans="1:9" s="25" customFormat="1" ht="30" hidden="1" customHeight="1" x14ac:dyDescent="0.2">
      <c r="A19" s="1216"/>
      <c r="B19" s="2418" t="s">
        <v>2115</v>
      </c>
      <c r="C19" s="43"/>
      <c r="D19" s="43">
        <f>SUM(D20:D21)</f>
        <v>0</v>
      </c>
      <c r="E19" s="43"/>
      <c r="F19" s="43"/>
      <c r="G19" s="3062">
        <f t="shared" ref="G19:H19" si="3">SUM(G20:G21)</f>
        <v>0</v>
      </c>
      <c r="H19" s="3062">
        <f t="shared" si="3"/>
        <v>0</v>
      </c>
      <c r="I19" s="26"/>
    </row>
    <row r="20" spans="1:9" s="411" customFormat="1" ht="97.9" hidden="1" customHeight="1" x14ac:dyDescent="0.25">
      <c r="A20" s="1216">
        <v>4</v>
      </c>
      <c r="B20" s="2417" t="s">
        <v>2116</v>
      </c>
      <c r="C20" s="260"/>
      <c r="D20" s="410"/>
      <c r="E20" s="410"/>
      <c r="F20" s="410"/>
      <c r="G20" s="3063"/>
      <c r="H20" s="3064"/>
      <c r="I20" s="2425"/>
    </row>
    <row r="21" spans="1:9" s="4" customFormat="1" ht="30" hidden="1" customHeight="1" x14ac:dyDescent="0.2">
      <c r="A21" s="1216"/>
      <c r="B21" s="2418" t="s">
        <v>2112</v>
      </c>
      <c r="C21" s="260"/>
      <c r="D21" s="410"/>
      <c r="E21" s="410"/>
      <c r="F21" s="410"/>
      <c r="G21" s="3063"/>
      <c r="H21" s="3064"/>
      <c r="I21" s="2425"/>
    </row>
    <row r="22" spans="1:9" s="1" customFormat="1" ht="30" hidden="1" customHeight="1" x14ac:dyDescent="0.25">
      <c r="A22" s="1216"/>
      <c r="B22" s="2418" t="s">
        <v>2117</v>
      </c>
      <c r="C22" s="2421"/>
      <c r="D22" s="2421"/>
      <c r="E22" s="2421"/>
      <c r="F22" s="2421"/>
      <c r="G22" s="3060"/>
      <c r="H22" s="3060"/>
      <c r="I22" s="2426"/>
    </row>
    <row r="23" spans="1:9" s="36" customFormat="1" ht="33" customHeight="1" x14ac:dyDescent="0.25">
      <c r="A23" s="1210" t="s">
        <v>11</v>
      </c>
      <c r="B23" s="2419" t="s">
        <v>2118</v>
      </c>
      <c r="C23" s="248"/>
      <c r="D23" s="3065">
        <f>D24+D25+D26</f>
        <v>0</v>
      </c>
      <c r="E23" s="239"/>
      <c r="F23" s="239"/>
      <c r="G23" s="3065">
        <f t="shared" ref="G23:H23" si="4">G24+G25+G26</f>
        <v>0</v>
      </c>
      <c r="H23" s="3065">
        <f t="shared" si="4"/>
        <v>0</v>
      </c>
      <c r="I23" s="169"/>
    </row>
    <row r="24" spans="1:9" s="36" customFormat="1" ht="68.25" hidden="1" customHeight="1" x14ac:dyDescent="0.25">
      <c r="A24" s="1216">
        <v>1</v>
      </c>
      <c r="B24" s="2417" t="s">
        <v>171</v>
      </c>
      <c r="C24" s="248"/>
      <c r="D24" s="248"/>
      <c r="E24" s="248"/>
      <c r="F24" s="248"/>
      <c r="G24" s="3066"/>
      <c r="H24" s="3067"/>
      <c r="I24" s="210" t="s">
        <v>814</v>
      </c>
    </row>
    <row r="25" spans="1:9" s="36" customFormat="1" ht="30" hidden="1" customHeight="1" x14ac:dyDescent="0.25">
      <c r="A25" s="1216"/>
      <c r="B25" s="2418" t="s">
        <v>2119</v>
      </c>
      <c r="C25" s="248"/>
      <c r="D25" s="248"/>
      <c r="E25" s="248"/>
      <c r="F25" s="248"/>
      <c r="G25" s="3066"/>
      <c r="H25" s="3066"/>
      <c r="I25" s="245"/>
    </row>
    <row r="26" spans="1:9" s="204" customFormat="1" ht="64.5" hidden="1" customHeight="1" x14ac:dyDescent="0.25">
      <c r="A26" s="1216"/>
      <c r="B26" s="2417" t="s">
        <v>2120</v>
      </c>
      <c r="C26" s="248"/>
      <c r="D26" s="859"/>
      <c r="E26" s="859"/>
      <c r="F26" s="859"/>
      <c r="G26" s="3066"/>
      <c r="H26" s="3068"/>
      <c r="I26" s="245"/>
    </row>
    <row r="27" spans="1:9" s="36" customFormat="1" ht="30" hidden="1" customHeight="1" x14ac:dyDescent="0.25">
      <c r="A27" s="1216">
        <v>2</v>
      </c>
      <c r="B27" s="2417" t="s">
        <v>2107</v>
      </c>
      <c r="C27" s="248"/>
      <c r="D27" s="248"/>
      <c r="E27" s="248"/>
      <c r="F27" s="248"/>
      <c r="G27" s="3066"/>
      <c r="H27" s="3067"/>
      <c r="I27" s="245"/>
    </row>
    <row r="28" spans="1:9" s="27" customFormat="1" ht="30" hidden="1" customHeight="1" x14ac:dyDescent="0.2">
      <c r="A28" s="1216"/>
      <c r="B28" s="2418" t="s">
        <v>2121</v>
      </c>
      <c r="C28" s="40"/>
      <c r="D28" s="40"/>
      <c r="E28" s="40"/>
      <c r="F28" s="40"/>
      <c r="G28" s="3069"/>
      <c r="H28" s="3061"/>
      <c r="I28" s="40"/>
    </row>
    <row r="29" spans="1:9" ht="30" hidden="1" customHeight="1" x14ac:dyDescent="0.25">
      <c r="A29" s="1216"/>
      <c r="B29" s="2417" t="s">
        <v>2122</v>
      </c>
      <c r="C29" s="520"/>
      <c r="D29" s="520"/>
      <c r="E29" s="520"/>
      <c r="F29" s="520"/>
      <c r="G29" s="3070"/>
      <c r="H29" s="3070"/>
      <c r="I29" s="520"/>
    </row>
    <row r="30" spans="1:9" ht="30" hidden="1" customHeight="1" x14ac:dyDescent="0.25">
      <c r="A30" s="1216">
        <v>3</v>
      </c>
      <c r="B30" s="2417" t="s">
        <v>2123</v>
      </c>
      <c r="C30" s="520"/>
      <c r="D30" s="520"/>
      <c r="E30" s="520"/>
      <c r="F30" s="520"/>
      <c r="G30" s="3070"/>
      <c r="H30" s="3070"/>
      <c r="I30" s="520"/>
    </row>
    <row r="31" spans="1:9" ht="30" hidden="1" customHeight="1" x14ac:dyDescent="0.25">
      <c r="A31" s="1216" t="s">
        <v>30</v>
      </c>
      <c r="B31" s="2417" t="s">
        <v>2111</v>
      </c>
      <c r="C31" s="520"/>
      <c r="D31" s="520"/>
      <c r="E31" s="520"/>
      <c r="F31" s="520"/>
      <c r="G31" s="3070"/>
      <c r="H31" s="3070"/>
      <c r="I31" s="520"/>
    </row>
    <row r="32" spans="1:9" ht="15.75" hidden="1" x14ac:dyDescent="0.25">
      <c r="A32" s="1216"/>
      <c r="B32" s="2418" t="s">
        <v>2112</v>
      </c>
      <c r="C32" s="520"/>
      <c r="D32" s="520"/>
      <c r="E32" s="520"/>
      <c r="F32" s="520"/>
      <c r="G32" s="3070"/>
      <c r="H32" s="3070"/>
      <c r="I32" s="520"/>
    </row>
    <row r="33" spans="1:9" ht="15.75" hidden="1" x14ac:dyDescent="0.25">
      <c r="A33" s="1216"/>
      <c r="B33" s="2418" t="s">
        <v>2113</v>
      </c>
      <c r="C33" s="520"/>
      <c r="D33" s="520"/>
      <c r="E33" s="520"/>
      <c r="F33" s="520"/>
      <c r="G33" s="3070"/>
      <c r="H33" s="3070"/>
      <c r="I33" s="520"/>
    </row>
    <row r="34" spans="1:9" ht="31.5" hidden="1" x14ac:dyDescent="0.25">
      <c r="A34" s="1216" t="s">
        <v>31</v>
      </c>
      <c r="B34" s="2417" t="s">
        <v>172</v>
      </c>
      <c r="C34" s="520"/>
      <c r="D34" s="520"/>
      <c r="E34" s="520"/>
      <c r="F34" s="520"/>
      <c r="G34" s="3070"/>
      <c r="H34" s="3070"/>
      <c r="I34" s="520"/>
    </row>
    <row r="35" spans="1:9" ht="15.75" hidden="1" x14ac:dyDescent="0.25">
      <c r="A35" s="1216"/>
      <c r="B35" s="2418" t="s">
        <v>2112</v>
      </c>
      <c r="C35" s="520"/>
      <c r="D35" s="520"/>
      <c r="E35" s="520"/>
      <c r="F35" s="520"/>
      <c r="G35" s="3070"/>
      <c r="H35" s="3070"/>
      <c r="I35" s="520"/>
    </row>
    <row r="36" spans="1:9" ht="15.75" hidden="1" x14ac:dyDescent="0.25">
      <c r="A36" s="1216"/>
      <c r="B36" s="2418" t="s">
        <v>2117</v>
      </c>
      <c r="C36" s="520"/>
      <c r="D36" s="520"/>
      <c r="E36" s="520"/>
      <c r="F36" s="520"/>
      <c r="G36" s="3070"/>
      <c r="H36" s="3070"/>
      <c r="I36" s="520"/>
    </row>
    <row r="37" spans="1:9" ht="31.5" hidden="1" x14ac:dyDescent="0.25">
      <c r="A37" s="1216">
        <v>4</v>
      </c>
      <c r="B37" s="2417" t="s">
        <v>2124</v>
      </c>
      <c r="C37" s="520"/>
      <c r="D37" s="520"/>
      <c r="E37" s="520"/>
      <c r="F37" s="520"/>
      <c r="G37" s="3070"/>
      <c r="H37" s="3070"/>
      <c r="I37" s="520"/>
    </row>
    <row r="38" spans="1:9" ht="15.75" hidden="1" x14ac:dyDescent="0.25">
      <c r="A38" s="1216"/>
      <c r="B38" s="2418" t="s">
        <v>2112</v>
      </c>
      <c r="C38" s="520"/>
      <c r="D38" s="520"/>
      <c r="E38" s="520"/>
      <c r="F38" s="520"/>
      <c r="G38" s="3070"/>
      <c r="H38" s="3070"/>
      <c r="I38" s="520"/>
    </row>
    <row r="39" spans="1:9" ht="15.75" hidden="1" x14ac:dyDescent="0.25">
      <c r="A39" s="1216"/>
      <c r="B39" s="2418" t="s">
        <v>2117</v>
      </c>
      <c r="C39" s="520"/>
      <c r="D39" s="520"/>
      <c r="E39" s="520"/>
      <c r="F39" s="520"/>
      <c r="G39" s="3070"/>
      <c r="H39" s="3070"/>
      <c r="I39" s="520"/>
    </row>
    <row r="40" spans="1:9" ht="34.5" customHeight="1" x14ac:dyDescent="0.25">
      <c r="A40" s="1210" t="s">
        <v>17</v>
      </c>
      <c r="B40" s="2419" t="s">
        <v>2125</v>
      </c>
      <c r="C40" s="520"/>
      <c r="D40" s="520"/>
      <c r="E40" s="520"/>
      <c r="F40" s="520"/>
      <c r="G40" s="3070"/>
      <c r="H40" s="3070"/>
      <c r="I40" s="520"/>
    </row>
  </sheetData>
  <mergeCells count="9">
    <mergeCell ref="H1:I1"/>
    <mergeCell ref="A5:A6"/>
    <mergeCell ref="B5:B6"/>
    <mergeCell ref="C5:D5"/>
    <mergeCell ref="E5:F5"/>
    <mergeCell ref="A2:I2"/>
    <mergeCell ref="A3:I3"/>
    <mergeCell ref="G5:H5"/>
    <mergeCell ref="I5:I6"/>
  </mergeCells>
  <printOptions horizontalCentered="1"/>
  <pageMargins left="0.38" right="0.39370078740157499" top="0.78740157480314998" bottom="0.78740157480314998" header="0.31496062992126" footer="0.31496062992126"/>
  <pageSetup paperSize="9" scale="75" firstPageNumber="79" orientation="portrait" useFirstPageNumber="1" r:id="rId1"/>
  <headerFooter>
    <oddFooter>&amp;C&amp;P</odd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6AB1-D061-427D-95FF-6132E319B695}">
  <sheetPr>
    <tabColor theme="3" tint="0.39997558519241921"/>
  </sheetPr>
  <dimension ref="A1:W107"/>
  <sheetViews>
    <sheetView zoomScaleNormal="100" workbookViewId="0">
      <pane xSplit="10" ySplit="7" topLeftCell="O8" activePane="bottomRight" state="frozen"/>
      <selection pane="topRight" activeCell="K1" sqref="K1"/>
      <selection pane="bottomLeft" activeCell="A8" sqref="A8"/>
      <selection pane="bottomRight" activeCell="B5" sqref="B5:B7"/>
    </sheetView>
  </sheetViews>
  <sheetFormatPr defaultRowHeight="12" x14ac:dyDescent="0.2"/>
  <cols>
    <col min="1" max="1" width="8.42578125" style="168" customWidth="1"/>
    <col min="2" max="2" width="39.5703125" style="168" customWidth="1"/>
    <col min="3" max="3" width="1.5703125" style="168" hidden="1" customWidth="1"/>
    <col min="4" max="4" width="6.5703125" style="168" hidden="1" customWidth="1"/>
    <col min="5" max="10" width="7.85546875" style="168" hidden="1" customWidth="1"/>
    <col min="11" max="12" width="9.140625" style="168" customWidth="1"/>
    <col min="13" max="14" width="7.85546875" style="168" hidden="1" customWidth="1"/>
    <col min="15" max="15" width="16.140625" style="168" customWidth="1"/>
    <col min="16" max="16" width="16.42578125" style="2854" customWidth="1"/>
    <col min="17" max="18" width="7.42578125" style="168" hidden="1" customWidth="1"/>
    <col min="19" max="19" width="11" style="168" customWidth="1"/>
    <col min="20" max="21" width="7.42578125" style="168" hidden="1" customWidth="1"/>
    <col min="22" max="22" width="10.5703125" style="168" customWidth="1"/>
    <col min="23" max="23" width="21" style="168" customWidth="1"/>
    <col min="24" max="256" width="9.140625" style="168"/>
    <col min="257" max="257" width="4.7109375" style="168" customWidth="1"/>
    <col min="258" max="258" width="29.7109375" style="168" customWidth="1"/>
    <col min="259" max="259" width="0" style="168" hidden="1" customWidth="1"/>
    <col min="260" max="260" width="6.5703125" style="168" customWidth="1"/>
    <col min="261" max="261" width="7.85546875" style="168" customWidth="1"/>
    <col min="262" max="263" width="0" style="168" hidden="1" customWidth="1"/>
    <col min="264" max="265" width="7.85546875" style="168" customWidth="1"/>
    <col min="266" max="266" width="0" style="168" hidden="1" customWidth="1"/>
    <col min="267" max="267" width="6.85546875" style="168" customWidth="1"/>
    <col min="268" max="268" width="7.85546875" style="168" customWidth="1"/>
    <col min="269" max="270" width="0" style="168" hidden="1" customWidth="1"/>
    <col min="271" max="272" width="7.85546875" style="168" customWidth="1"/>
    <col min="273" max="273" width="7.42578125" style="168" customWidth="1"/>
    <col min="274" max="274" width="0" style="168" hidden="1" customWidth="1"/>
    <col min="275" max="276" width="7.42578125" style="168" customWidth="1"/>
    <col min="277" max="277" width="0" style="168" hidden="1" customWidth="1"/>
    <col min="278" max="278" width="7.42578125" style="168" customWidth="1"/>
    <col min="279" max="279" width="19.28515625" style="168" customWidth="1"/>
    <col min="280" max="512" width="9.140625" style="168"/>
    <col min="513" max="513" width="4.7109375" style="168" customWidth="1"/>
    <col min="514" max="514" width="29.7109375" style="168" customWidth="1"/>
    <col min="515" max="515" width="0" style="168" hidden="1" customWidth="1"/>
    <col min="516" max="516" width="6.5703125" style="168" customWidth="1"/>
    <col min="517" max="517" width="7.85546875" style="168" customWidth="1"/>
    <col min="518" max="519" width="0" style="168" hidden="1" customWidth="1"/>
    <col min="520" max="521" width="7.85546875" style="168" customWidth="1"/>
    <col min="522" max="522" width="0" style="168" hidden="1" customWidth="1"/>
    <col min="523" max="523" width="6.85546875" style="168" customWidth="1"/>
    <col min="524" max="524" width="7.85546875" style="168" customWidth="1"/>
    <col min="525" max="526" width="0" style="168" hidden="1" customWidth="1"/>
    <col min="527" max="528" width="7.85546875" style="168" customWidth="1"/>
    <col min="529" max="529" width="7.42578125" style="168" customWidth="1"/>
    <col min="530" max="530" width="0" style="168" hidden="1" customWidth="1"/>
    <col min="531" max="532" width="7.42578125" style="168" customWidth="1"/>
    <col min="533" max="533" width="0" style="168" hidden="1" customWidth="1"/>
    <col min="534" max="534" width="7.42578125" style="168" customWidth="1"/>
    <col min="535" max="535" width="19.28515625" style="168" customWidth="1"/>
    <col min="536" max="768" width="9.140625" style="168"/>
    <col min="769" max="769" width="4.7109375" style="168" customWidth="1"/>
    <col min="770" max="770" width="29.7109375" style="168" customWidth="1"/>
    <col min="771" max="771" width="0" style="168" hidden="1" customWidth="1"/>
    <col min="772" max="772" width="6.5703125" style="168" customWidth="1"/>
    <col min="773" max="773" width="7.85546875" style="168" customWidth="1"/>
    <col min="774" max="775" width="0" style="168" hidden="1" customWidth="1"/>
    <col min="776" max="777" width="7.85546875" style="168" customWidth="1"/>
    <col min="778" max="778" width="0" style="168" hidden="1" customWidth="1"/>
    <col min="779" max="779" width="6.85546875" style="168" customWidth="1"/>
    <col min="780" max="780" width="7.85546875" style="168" customWidth="1"/>
    <col min="781" max="782" width="0" style="168" hidden="1" customWidth="1"/>
    <col min="783" max="784" width="7.85546875" style="168" customWidth="1"/>
    <col min="785" max="785" width="7.42578125" style="168" customWidth="1"/>
    <col min="786" max="786" width="0" style="168" hidden="1" customWidth="1"/>
    <col min="787" max="788" width="7.42578125" style="168" customWidth="1"/>
    <col min="789" max="789" width="0" style="168" hidden="1" customWidth="1"/>
    <col min="790" max="790" width="7.42578125" style="168" customWidth="1"/>
    <col min="791" max="791" width="19.28515625" style="168" customWidth="1"/>
    <col min="792" max="1024" width="9.140625" style="168"/>
    <col min="1025" max="1025" width="4.7109375" style="168" customWidth="1"/>
    <col min="1026" max="1026" width="29.7109375" style="168" customWidth="1"/>
    <col min="1027" max="1027" width="0" style="168" hidden="1" customWidth="1"/>
    <col min="1028" max="1028" width="6.5703125" style="168" customWidth="1"/>
    <col min="1029" max="1029" width="7.85546875" style="168" customWidth="1"/>
    <col min="1030" max="1031" width="0" style="168" hidden="1" customWidth="1"/>
    <col min="1032" max="1033" width="7.85546875" style="168" customWidth="1"/>
    <col min="1034" max="1034" width="0" style="168" hidden="1" customWidth="1"/>
    <col min="1035" max="1035" width="6.85546875" style="168" customWidth="1"/>
    <col min="1036" max="1036" width="7.85546875" style="168" customWidth="1"/>
    <col min="1037" max="1038" width="0" style="168" hidden="1" customWidth="1"/>
    <col min="1039" max="1040" width="7.85546875" style="168" customWidth="1"/>
    <col min="1041" max="1041" width="7.42578125" style="168" customWidth="1"/>
    <col min="1042" max="1042" width="0" style="168" hidden="1" customWidth="1"/>
    <col min="1043" max="1044" width="7.42578125" style="168" customWidth="1"/>
    <col min="1045" max="1045" width="0" style="168" hidden="1" customWidth="1"/>
    <col min="1046" max="1046" width="7.42578125" style="168" customWidth="1"/>
    <col min="1047" max="1047" width="19.28515625" style="168" customWidth="1"/>
    <col min="1048" max="1280" width="9.140625" style="168"/>
    <col min="1281" max="1281" width="4.7109375" style="168" customWidth="1"/>
    <col min="1282" max="1282" width="29.7109375" style="168" customWidth="1"/>
    <col min="1283" max="1283" width="0" style="168" hidden="1" customWidth="1"/>
    <col min="1284" max="1284" width="6.5703125" style="168" customWidth="1"/>
    <col min="1285" max="1285" width="7.85546875" style="168" customWidth="1"/>
    <col min="1286" max="1287" width="0" style="168" hidden="1" customWidth="1"/>
    <col min="1288" max="1289" width="7.85546875" style="168" customWidth="1"/>
    <col min="1290" max="1290" width="0" style="168" hidden="1" customWidth="1"/>
    <col min="1291" max="1291" width="6.85546875" style="168" customWidth="1"/>
    <col min="1292" max="1292" width="7.85546875" style="168" customWidth="1"/>
    <col min="1293" max="1294" width="0" style="168" hidden="1" customWidth="1"/>
    <col min="1295" max="1296" width="7.85546875" style="168" customWidth="1"/>
    <col min="1297" max="1297" width="7.42578125" style="168" customWidth="1"/>
    <col min="1298" max="1298" width="0" style="168" hidden="1" customWidth="1"/>
    <col min="1299" max="1300" width="7.42578125" style="168" customWidth="1"/>
    <col min="1301" max="1301" width="0" style="168" hidden="1" customWidth="1"/>
    <col min="1302" max="1302" width="7.42578125" style="168" customWidth="1"/>
    <col min="1303" max="1303" width="19.28515625" style="168" customWidth="1"/>
    <col min="1304" max="1536" width="9.140625" style="168"/>
    <col min="1537" max="1537" width="4.7109375" style="168" customWidth="1"/>
    <col min="1538" max="1538" width="29.7109375" style="168" customWidth="1"/>
    <col min="1539" max="1539" width="0" style="168" hidden="1" customWidth="1"/>
    <col min="1540" max="1540" width="6.5703125" style="168" customWidth="1"/>
    <col min="1541" max="1541" width="7.85546875" style="168" customWidth="1"/>
    <col min="1542" max="1543" width="0" style="168" hidden="1" customWidth="1"/>
    <col min="1544" max="1545" width="7.85546875" style="168" customWidth="1"/>
    <col min="1546" max="1546" width="0" style="168" hidden="1" customWidth="1"/>
    <col min="1547" max="1547" width="6.85546875" style="168" customWidth="1"/>
    <col min="1548" max="1548" width="7.85546875" style="168" customWidth="1"/>
    <col min="1549" max="1550" width="0" style="168" hidden="1" customWidth="1"/>
    <col min="1551" max="1552" width="7.85546875" style="168" customWidth="1"/>
    <col min="1553" max="1553" width="7.42578125" style="168" customWidth="1"/>
    <col min="1554" max="1554" width="0" style="168" hidden="1" customWidth="1"/>
    <col min="1555" max="1556" width="7.42578125" style="168" customWidth="1"/>
    <col min="1557" max="1557" width="0" style="168" hidden="1" customWidth="1"/>
    <col min="1558" max="1558" width="7.42578125" style="168" customWidth="1"/>
    <col min="1559" max="1559" width="19.28515625" style="168" customWidth="1"/>
    <col min="1560" max="1792" width="9.140625" style="168"/>
    <col min="1793" max="1793" width="4.7109375" style="168" customWidth="1"/>
    <col min="1794" max="1794" width="29.7109375" style="168" customWidth="1"/>
    <col min="1795" max="1795" width="0" style="168" hidden="1" customWidth="1"/>
    <col min="1796" max="1796" width="6.5703125" style="168" customWidth="1"/>
    <col min="1797" max="1797" width="7.85546875" style="168" customWidth="1"/>
    <col min="1798" max="1799" width="0" style="168" hidden="1" customWidth="1"/>
    <col min="1800" max="1801" width="7.85546875" style="168" customWidth="1"/>
    <col min="1802" max="1802" width="0" style="168" hidden="1" customWidth="1"/>
    <col min="1803" max="1803" width="6.85546875" style="168" customWidth="1"/>
    <col min="1804" max="1804" width="7.85546875" style="168" customWidth="1"/>
    <col min="1805" max="1806" width="0" style="168" hidden="1" customWidth="1"/>
    <col min="1807" max="1808" width="7.85546875" style="168" customWidth="1"/>
    <col min="1809" max="1809" width="7.42578125" style="168" customWidth="1"/>
    <col min="1810" max="1810" width="0" style="168" hidden="1" customWidth="1"/>
    <col min="1811" max="1812" width="7.42578125" style="168" customWidth="1"/>
    <col min="1813" max="1813" width="0" style="168" hidden="1" customWidth="1"/>
    <col min="1814" max="1814" width="7.42578125" style="168" customWidth="1"/>
    <col min="1815" max="1815" width="19.28515625" style="168" customWidth="1"/>
    <col min="1816" max="2048" width="9.140625" style="168"/>
    <col min="2049" max="2049" width="4.7109375" style="168" customWidth="1"/>
    <col min="2050" max="2050" width="29.7109375" style="168" customWidth="1"/>
    <col min="2051" max="2051" width="0" style="168" hidden="1" customWidth="1"/>
    <col min="2052" max="2052" width="6.5703125" style="168" customWidth="1"/>
    <col min="2053" max="2053" width="7.85546875" style="168" customWidth="1"/>
    <col min="2054" max="2055" width="0" style="168" hidden="1" customWidth="1"/>
    <col min="2056" max="2057" width="7.85546875" style="168" customWidth="1"/>
    <col min="2058" max="2058" width="0" style="168" hidden="1" customWidth="1"/>
    <col min="2059" max="2059" width="6.85546875" style="168" customWidth="1"/>
    <col min="2060" max="2060" width="7.85546875" style="168" customWidth="1"/>
    <col min="2061" max="2062" width="0" style="168" hidden="1" customWidth="1"/>
    <col min="2063" max="2064" width="7.85546875" style="168" customWidth="1"/>
    <col min="2065" max="2065" width="7.42578125" style="168" customWidth="1"/>
    <col min="2066" max="2066" width="0" style="168" hidden="1" customWidth="1"/>
    <col min="2067" max="2068" width="7.42578125" style="168" customWidth="1"/>
    <col min="2069" max="2069" width="0" style="168" hidden="1" customWidth="1"/>
    <col min="2070" max="2070" width="7.42578125" style="168" customWidth="1"/>
    <col min="2071" max="2071" width="19.28515625" style="168" customWidth="1"/>
    <col min="2072" max="2304" width="9.140625" style="168"/>
    <col min="2305" max="2305" width="4.7109375" style="168" customWidth="1"/>
    <col min="2306" max="2306" width="29.7109375" style="168" customWidth="1"/>
    <col min="2307" max="2307" width="0" style="168" hidden="1" customWidth="1"/>
    <col min="2308" max="2308" width="6.5703125" style="168" customWidth="1"/>
    <col min="2309" max="2309" width="7.85546875" style="168" customWidth="1"/>
    <col min="2310" max="2311" width="0" style="168" hidden="1" customWidth="1"/>
    <col min="2312" max="2313" width="7.85546875" style="168" customWidth="1"/>
    <col min="2314" max="2314" width="0" style="168" hidden="1" customWidth="1"/>
    <col min="2315" max="2315" width="6.85546875" style="168" customWidth="1"/>
    <col min="2316" max="2316" width="7.85546875" style="168" customWidth="1"/>
    <col min="2317" max="2318" width="0" style="168" hidden="1" customWidth="1"/>
    <col min="2319" max="2320" width="7.85546875" style="168" customWidth="1"/>
    <col min="2321" max="2321" width="7.42578125" style="168" customWidth="1"/>
    <col min="2322" max="2322" width="0" style="168" hidden="1" customWidth="1"/>
    <col min="2323" max="2324" width="7.42578125" style="168" customWidth="1"/>
    <col min="2325" max="2325" width="0" style="168" hidden="1" customWidth="1"/>
    <col min="2326" max="2326" width="7.42578125" style="168" customWidth="1"/>
    <col min="2327" max="2327" width="19.28515625" style="168" customWidth="1"/>
    <col min="2328" max="2560" width="9.140625" style="168"/>
    <col min="2561" max="2561" width="4.7109375" style="168" customWidth="1"/>
    <col min="2562" max="2562" width="29.7109375" style="168" customWidth="1"/>
    <col min="2563" max="2563" width="0" style="168" hidden="1" customWidth="1"/>
    <col min="2564" max="2564" width="6.5703125" style="168" customWidth="1"/>
    <col min="2565" max="2565" width="7.85546875" style="168" customWidth="1"/>
    <col min="2566" max="2567" width="0" style="168" hidden="1" customWidth="1"/>
    <col min="2568" max="2569" width="7.85546875" style="168" customWidth="1"/>
    <col min="2570" max="2570" width="0" style="168" hidden="1" customWidth="1"/>
    <col min="2571" max="2571" width="6.85546875" style="168" customWidth="1"/>
    <col min="2572" max="2572" width="7.85546875" style="168" customWidth="1"/>
    <col min="2573" max="2574" width="0" style="168" hidden="1" customWidth="1"/>
    <col min="2575" max="2576" width="7.85546875" style="168" customWidth="1"/>
    <col min="2577" max="2577" width="7.42578125" style="168" customWidth="1"/>
    <col min="2578" max="2578" width="0" style="168" hidden="1" customWidth="1"/>
    <col min="2579" max="2580" width="7.42578125" style="168" customWidth="1"/>
    <col min="2581" max="2581" width="0" style="168" hidden="1" customWidth="1"/>
    <col min="2582" max="2582" width="7.42578125" style="168" customWidth="1"/>
    <col min="2583" max="2583" width="19.28515625" style="168" customWidth="1"/>
    <col min="2584" max="2816" width="9.140625" style="168"/>
    <col min="2817" max="2817" width="4.7109375" style="168" customWidth="1"/>
    <col min="2818" max="2818" width="29.7109375" style="168" customWidth="1"/>
    <col min="2819" max="2819" width="0" style="168" hidden="1" customWidth="1"/>
    <col min="2820" max="2820" width="6.5703125" style="168" customWidth="1"/>
    <col min="2821" max="2821" width="7.85546875" style="168" customWidth="1"/>
    <col min="2822" max="2823" width="0" style="168" hidden="1" customWidth="1"/>
    <col min="2824" max="2825" width="7.85546875" style="168" customWidth="1"/>
    <col min="2826" max="2826" width="0" style="168" hidden="1" customWidth="1"/>
    <col min="2827" max="2827" width="6.85546875" style="168" customWidth="1"/>
    <col min="2828" max="2828" width="7.85546875" style="168" customWidth="1"/>
    <col min="2829" max="2830" width="0" style="168" hidden="1" customWidth="1"/>
    <col min="2831" max="2832" width="7.85546875" style="168" customWidth="1"/>
    <col min="2833" max="2833" width="7.42578125" style="168" customWidth="1"/>
    <col min="2834" max="2834" width="0" style="168" hidden="1" customWidth="1"/>
    <col min="2835" max="2836" width="7.42578125" style="168" customWidth="1"/>
    <col min="2837" max="2837" width="0" style="168" hidden="1" customWidth="1"/>
    <col min="2838" max="2838" width="7.42578125" style="168" customWidth="1"/>
    <col min="2839" max="2839" width="19.28515625" style="168" customWidth="1"/>
    <col min="2840" max="3072" width="9.140625" style="168"/>
    <col min="3073" max="3073" width="4.7109375" style="168" customWidth="1"/>
    <col min="3074" max="3074" width="29.7109375" style="168" customWidth="1"/>
    <col min="3075" max="3075" width="0" style="168" hidden="1" customWidth="1"/>
    <col min="3076" max="3076" width="6.5703125" style="168" customWidth="1"/>
    <col min="3077" max="3077" width="7.85546875" style="168" customWidth="1"/>
    <col min="3078" max="3079" width="0" style="168" hidden="1" customWidth="1"/>
    <col min="3080" max="3081" width="7.85546875" style="168" customWidth="1"/>
    <col min="3082" max="3082" width="0" style="168" hidden="1" customWidth="1"/>
    <col min="3083" max="3083" width="6.85546875" style="168" customWidth="1"/>
    <col min="3084" max="3084" width="7.85546875" style="168" customWidth="1"/>
    <col min="3085" max="3086" width="0" style="168" hidden="1" customWidth="1"/>
    <col min="3087" max="3088" width="7.85546875" style="168" customWidth="1"/>
    <col min="3089" max="3089" width="7.42578125" style="168" customWidth="1"/>
    <col min="3090" max="3090" width="0" style="168" hidden="1" customWidth="1"/>
    <col min="3091" max="3092" width="7.42578125" style="168" customWidth="1"/>
    <col min="3093" max="3093" width="0" style="168" hidden="1" customWidth="1"/>
    <col min="3094" max="3094" width="7.42578125" style="168" customWidth="1"/>
    <col min="3095" max="3095" width="19.28515625" style="168" customWidth="1"/>
    <col min="3096" max="3328" width="9.140625" style="168"/>
    <col min="3329" max="3329" width="4.7109375" style="168" customWidth="1"/>
    <col min="3330" max="3330" width="29.7109375" style="168" customWidth="1"/>
    <col min="3331" max="3331" width="0" style="168" hidden="1" customWidth="1"/>
    <col min="3332" max="3332" width="6.5703125" style="168" customWidth="1"/>
    <col min="3333" max="3333" width="7.85546875" style="168" customWidth="1"/>
    <col min="3334" max="3335" width="0" style="168" hidden="1" customWidth="1"/>
    <col min="3336" max="3337" width="7.85546875" style="168" customWidth="1"/>
    <col min="3338" max="3338" width="0" style="168" hidden="1" customWidth="1"/>
    <col min="3339" max="3339" width="6.85546875" style="168" customWidth="1"/>
    <col min="3340" max="3340" width="7.85546875" style="168" customWidth="1"/>
    <col min="3341" max="3342" width="0" style="168" hidden="1" customWidth="1"/>
    <col min="3343" max="3344" width="7.85546875" style="168" customWidth="1"/>
    <col min="3345" max="3345" width="7.42578125" style="168" customWidth="1"/>
    <col min="3346" max="3346" width="0" style="168" hidden="1" customWidth="1"/>
    <col min="3347" max="3348" width="7.42578125" style="168" customWidth="1"/>
    <col min="3349" max="3349" width="0" style="168" hidden="1" customWidth="1"/>
    <col min="3350" max="3350" width="7.42578125" style="168" customWidth="1"/>
    <col min="3351" max="3351" width="19.28515625" style="168" customWidth="1"/>
    <col min="3352" max="3584" width="9.140625" style="168"/>
    <col min="3585" max="3585" width="4.7109375" style="168" customWidth="1"/>
    <col min="3586" max="3586" width="29.7109375" style="168" customWidth="1"/>
    <col min="3587" max="3587" width="0" style="168" hidden="1" customWidth="1"/>
    <col min="3588" max="3588" width="6.5703125" style="168" customWidth="1"/>
    <col min="3589" max="3589" width="7.85546875" style="168" customWidth="1"/>
    <col min="3590" max="3591" width="0" style="168" hidden="1" customWidth="1"/>
    <col min="3592" max="3593" width="7.85546875" style="168" customWidth="1"/>
    <col min="3594" max="3594" width="0" style="168" hidden="1" customWidth="1"/>
    <col min="3595" max="3595" width="6.85546875" style="168" customWidth="1"/>
    <col min="3596" max="3596" width="7.85546875" style="168" customWidth="1"/>
    <col min="3597" max="3598" width="0" style="168" hidden="1" customWidth="1"/>
    <col min="3599" max="3600" width="7.85546875" style="168" customWidth="1"/>
    <col min="3601" max="3601" width="7.42578125" style="168" customWidth="1"/>
    <col min="3602" max="3602" width="0" style="168" hidden="1" customWidth="1"/>
    <col min="3603" max="3604" width="7.42578125" style="168" customWidth="1"/>
    <col min="3605" max="3605" width="0" style="168" hidden="1" customWidth="1"/>
    <col min="3606" max="3606" width="7.42578125" style="168" customWidth="1"/>
    <col min="3607" max="3607" width="19.28515625" style="168" customWidth="1"/>
    <col min="3608" max="3840" width="9.140625" style="168"/>
    <col min="3841" max="3841" width="4.7109375" style="168" customWidth="1"/>
    <col min="3842" max="3842" width="29.7109375" style="168" customWidth="1"/>
    <col min="3843" max="3843" width="0" style="168" hidden="1" customWidth="1"/>
    <col min="3844" max="3844" width="6.5703125" style="168" customWidth="1"/>
    <col min="3845" max="3845" width="7.85546875" style="168" customWidth="1"/>
    <col min="3846" max="3847" width="0" style="168" hidden="1" customWidth="1"/>
    <col min="3848" max="3849" width="7.85546875" style="168" customWidth="1"/>
    <col min="3850" max="3850" width="0" style="168" hidden="1" customWidth="1"/>
    <col min="3851" max="3851" width="6.85546875" style="168" customWidth="1"/>
    <col min="3852" max="3852" width="7.85546875" style="168" customWidth="1"/>
    <col min="3853" max="3854" width="0" style="168" hidden="1" customWidth="1"/>
    <col min="3855" max="3856" width="7.85546875" style="168" customWidth="1"/>
    <col min="3857" max="3857" width="7.42578125" style="168" customWidth="1"/>
    <col min="3858" max="3858" width="0" style="168" hidden="1" customWidth="1"/>
    <col min="3859" max="3860" width="7.42578125" style="168" customWidth="1"/>
    <col min="3861" max="3861" width="0" style="168" hidden="1" customWidth="1"/>
    <col min="3862" max="3862" width="7.42578125" style="168" customWidth="1"/>
    <col min="3863" max="3863" width="19.28515625" style="168" customWidth="1"/>
    <col min="3864" max="4096" width="9.140625" style="168"/>
    <col min="4097" max="4097" width="4.7109375" style="168" customWidth="1"/>
    <col min="4098" max="4098" width="29.7109375" style="168" customWidth="1"/>
    <col min="4099" max="4099" width="0" style="168" hidden="1" customWidth="1"/>
    <col min="4100" max="4100" width="6.5703125" style="168" customWidth="1"/>
    <col min="4101" max="4101" width="7.85546875" style="168" customWidth="1"/>
    <col min="4102" max="4103" width="0" style="168" hidden="1" customWidth="1"/>
    <col min="4104" max="4105" width="7.85546875" style="168" customWidth="1"/>
    <col min="4106" max="4106" width="0" style="168" hidden="1" customWidth="1"/>
    <col min="4107" max="4107" width="6.85546875" style="168" customWidth="1"/>
    <col min="4108" max="4108" width="7.85546875" style="168" customWidth="1"/>
    <col min="4109" max="4110" width="0" style="168" hidden="1" customWidth="1"/>
    <col min="4111" max="4112" width="7.85546875" style="168" customWidth="1"/>
    <col min="4113" max="4113" width="7.42578125" style="168" customWidth="1"/>
    <col min="4114" max="4114" width="0" style="168" hidden="1" customWidth="1"/>
    <col min="4115" max="4116" width="7.42578125" style="168" customWidth="1"/>
    <col min="4117" max="4117" width="0" style="168" hidden="1" customWidth="1"/>
    <col min="4118" max="4118" width="7.42578125" style="168" customWidth="1"/>
    <col min="4119" max="4119" width="19.28515625" style="168" customWidth="1"/>
    <col min="4120" max="4352" width="9.140625" style="168"/>
    <col min="4353" max="4353" width="4.7109375" style="168" customWidth="1"/>
    <col min="4354" max="4354" width="29.7109375" style="168" customWidth="1"/>
    <col min="4355" max="4355" width="0" style="168" hidden="1" customWidth="1"/>
    <col min="4356" max="4356" width="6.5703125" style="168" customWidth="1"/>
    <col min="4357" max="4357" width="7.85546875" style="168" customWidth="1"/>
    <col min="4358" max="4359" width="0" style="168" hidden="1" customWidth="1"/>
    <col min="4360" max="4361" width="7.85546875" style="168" customWidth="1"/>
    <col min="4362" max="4362" width="0" style="168" hidden="1" customWidth="1"/>
    <col min="4363" max="4363" width="6.85546875" style="168" customWidth="1"/>
    <col min="4364" max="4364" width="7.85546875" style="168" customWidth="1"/>
    <col min="4365" max="4366" width="0" style="168" hidden="1" customWidth="1"/>
    <col min="4367" max="4368" width="7.85546875" style="168" customWidth="1"/>
    <col min="4369" max="4369" width="7.42578125" style="168" customWidth="1"/>
    <col min="4370" max="4370" width="0" style="168" hidden="1" customWidth="1"/>
    <col min="4371" max="4372" width="7.42578125" style="168" customWidth="1"/>
    <col min="4373" max="4373" width="0" style="168" hidden="1" customWidth="1"/>
    <col min="4374" max="4374" width="7.42578125" style="168" customWidth="1"/>
    <col min="4375" max="4375" width="19.28515625" style="168" customWidth="1"/>
    <col min="4376" max="4608" width="9.140625" style="168"/>
    <col min="4609" max="4609" width="4.7109375" style="168" customWidth="1"/>
    <col min="4610" max="4610" width="29.7109375" style="168" customWidth="1"/>
    <col min="4611" max="4611" width="0" style="168" hidden="1" customWidth="1"/>
    <col min="4612" max="4612" width="6.5703125" style="168" customWidth="1"/>
    <col min="4613" max="4613" width="7.85546875" style="168" customWidth="1"/>
    <col min="4614" max="4615" width="0" style="168" hidden="1" customWidth="1"/>
    <col min="4616" max="4617" width="7.85546875" style="168" customWidth="1"/>
    <col min="4618" max="4618" width="0" style="168" hidden="1" customWidth="1"/>
    <col min="4619" max="4619" width="6.85546875" style="168" customWidth="1"/>
    <col min="4620" max="4620" width="7.85546875" style="168" customWidth="1"/>
    <col min="4621" max="4622" width="0" style="168" hidden="1" customWidth="1"/>
    <col min="4623" max="4624" width="7.85546875" style="168" customWidth="1"/>
    <col min="4625" max="4625" width="7.42578125" style="168" customWidth="1"/>
    <col min="4626" max="4626" width="0" style="168" hidden="1" customWidth="1"/>
    <col min="4627" max="4628" width="7.42578125" style="168" customWidth="1"/>
    <col min="4629" max="4629" width="0" style="168" hidden="1" customWidth="1"/>
    <col min="4630" max="4630" width="7.42578125" style="168" customWidth="1"/>
    <col min="4631" max="4631" width="19.28515625" style="168" customWidth="1"/>
    <col min="4632" max="4864" width="9.140625" style="168"/>
    <col min="4865" max="4865" width="4.7109375" style="168" customWidth="1"/>
    <col min="4866" max="4866" width="29.7109375" style="168" customWidth="1"/>
    <col min="4867" max="4867" width="0" style="168" hidden="1" customWidth="1"/>
    <col min="4868" max="4868" width="6.5703125" style="168" customWidth="1"/>
    <col min="4869" max="4869" width="7.85546875" style="168" customWidth="1"/>
    <col min="4870" max="4871" width="0" style="168" hidden="1" customWidth="1"/>
    <col min="4872" max="4873" width="7.85546875" style="168" customWidth="1"/>
    <col min="4874" max="4874" width="0" style="168" hidden="1" customWidth="1"/>
    <col min="4875" max="4875" width="6.85546875" style="168" customWidth="1"/>
    <col min="4876" max="4876" width="7.85546875" style="168" customWidth="1"/>
    <col min="4877" max="4878" width="0" style="168" hidden="1" customWidth="1"/>
    <col min="4879" max="4880" width="7.85546875" style="168" customWidth="1"/>
    <col min="4881" max="4881" width="7.42578125" style="168" customWidth="1"/>
    <col min="4882" max="4882" width="0" style="168" hidden="1" customWidth="1"/>
    <col min="4883" max="4884" width="7.42578125" style="168" customWidth="1"/>
    <col min="4885" max="4885" width="0" style="168" hidden="1" customWidth="1"/>
    <col min="4886" max="4886" width="7.42578125" style="168" customWidth="1"/>
    <col min="4887" max="4887" width="19.28515625" style="168" customWidth="1"/>
    <col min="4888" max="5120" width="9.140625" style="168"/>
    <col min="5121" max="5121" width="4.7109375" style="168" customWidth="1"/>
    <col min="5122" max="5122" width="29.7109375" style="168" customWidth="1"/>
    <col min="5123" max="5123" width="0" style="168" hidden="1" customWidth="1"/>
    <col min="5124" max="5124" width="6.5703125" style="168" customWidth="1"/>
    <col min="5125" max="5125" width="7.85546875" style="168" customWidth="1"/>
    <col min="5126" max="5127" width="0" style="168" hidden="1" customWidth="1"/>
    <col min="5128" max="5129" width="7.85546875" style="168" customWidth="1"/>
    <col min="5130" max="5130" width="0" style="168" hidden="1" customWidth="1"/>
    <col min="5131" max="5131" width="6.85546875" style="168" customWidth="1"/>
    <col min="5132" max="5132" width="7.85546875" style="168" customWidth="1"/>
    <col min="5133" max="5134" width="0" style="168" hidden="1" customWidth="1"/>
    <col min="5135" max="5136" width="7.85546875" style="168" customWidth="1"/>
    <col min="5137" max="5137" width="7.42578125" style="168" customWidth="1"/>
    <col min="5138" max="5138" width="0" style="168" hidden="1" customWidth="1"/>
    <col min="5139" max="5140" width="7.42578125" style="168" customWidth="1"/>
    <col min="5141" max="5141" width="0" style="168" hidden="1" customWidth="1"/>
    <col min="5142" max="5142" width="7.42578125" style="168" customWidth="1"/>
    <col min="5143" max="5143" width="19.28515625" style="168" customWidth="1"/>
    <col min="5144" max="5376" width="9.140625" style="168"/>
    <col min="5377" max="5377" width="4.7109375" style="168" customWidth="1"/>
    <col min="5378" max="5378" width="29.7109375" style="168" customWidth="1"/>
    <col min="5379" max="5379" width="0" style="168" hidden="1" customWidth="1"/>
    <col min="5380" max="5380" width="6.5703125" style="168" customWidth="1"/>
    <col min="5381" max="5381" width="7.85546875" style="168" customWidth="1"/>
    <col min="5382" max="5383" width="0" style="168" hidden="1" customWidth="1"/>
    <col min="5384" max="5385" width="7.85546875" style="168" customWidth="1"/>
    <col min="5386" max="5386" width="0" style="168" hidden="1" customWidth="1"/>
    <col min="5387" max="5387" width="6.85546875" style="168" customWidth="1"/>
    <col min="5388" max="5388" width="7.85546875" style="168" customWidth="1"/>
    <col min="5389" max="5390" width="0" style="168" hidden="1" customWidth="1"/>
    <col min="5391" max="5392" width="7.85546875" style="168" customWidth="1"/>
    <col min="5393" max="5393" width="7.42578125" style="168" customWidth="1"/>
    <col min="5394" max="5394" width="0" style="168" hidden="1" customWidth="1"/>
    <col min="5395" max="5396" width="7.42578125" style="168" customWidth="1"/>
    <col min="5397" max="5397" width="0" style="168" hidden="1" customWidth="1"/>
    <col min="5398" max="5398" width="7.42578125" style="168" customWidth="1"/>
    <col min="5399" max="5399" width="19.28515625" style="168" customWidth="1"/>
    <col min="5400" max="5632" width="9.140625" style="168"/>
    <col min="5633" max="5633" width="4.7109375" style="168" customWidth="1"/>
    <col min="5634" max="5634" width="29.7109375" style="168" customWidth="1"/>
    <col min="5635" max="5635" width="0" style="168" hidden="1" customWidth="1"/>
    <col min="5636" max="5636" width="6.5703125" style="168" customWidth="1"/>
    <col min="5637" max="5637" width="7.85546875" style="168" customWidth="1"/>
    <col min="5638" max="5639" width="0" style="168" hidden="1" customWidth="1"/>
    <col min="5640" max="5641" width="7.85546875" style="168" customWidth="1"/>
    <col min="5642" max="5642" width="0" style="168" hidden="1" customWidth="1"/>
    <col min="5643" max="5643" width="6.85546875" style="168" customWidth="1"/>
    <col min="5644" max="5644" width="7.85546875" style="168" customWidth="1"/>
    <col min="5645" max="5646" width="0" style="168" hidden="1" customWidth="1"/>
    <col min="5647" max="5648" width="7.85546875" style="168" customWidth="1"/>
    <col min="5649" max="5649" width="7.42578125" style="168" customWidth="1"/>
    <col min="5650" max="5650" width="0" style="168" hidden="1" customWidth="1"/>
    <col min="5651" max="5652" width="7.42578125" style="168" customWidth="1"/>
    <col min="5653" max="5653" width="0" style="168" hidden="1" customWidth="1"/>
    <col min="5654" max="5654" width="7.42578125" style="168" customWidth="1"/>
    <col min="5655" max="5655" width="19.28515625" style="168" customWidth="1"/>
    <col min="5656" max="5888" width="9.140625" style="168"/>
    <col min="5889" max="5889" width="4.7109375" style="168" customWidth="1"/>
    <col min="5890" max="5890" width="29.7109375" style="168" customWidth="1"/>
    <col min="5891" max="5891" width="0" style="168" hidden="1" customWidth="1"/>
    <col min="5892" max="5892" width="6.5703125" style="168" customWidth="1"/>
    <col min="5893" max="5893" width="7.85546875" style="168" customWidth="1"/>
    <col min="5894" max="5895" width="0" style="168" hidden="1" customWidth="1"/>
    <col min="5896" max="5897" width="7.85546875" style="168" customWidth="1"/>
    <col min="5898" max="5898" width="0" style="168" hidden="1" customWidth="1"/>
    <col min="5899" max="5899" width="6.85546875" style="168" customWidth="1"/>
    <col min="5900" max="5900" width="7.85546875" style="168" customWidth="1"/>
    <col min="5901" max="5902" width="0" style="168" hidden="1" customWidth="1"/>
    <col min="5903" max="5904" width="7.85546875" style="168" customWidth="1"/>
    <col min="5905" max="5905" width="7.42578125" style="168" customWidth="1"/>
    <col min="5906" max="5906" width="0" style="168" hidden="1" customWidth="1"/>
    <col min="5907" max="5908" width="7.42578125" style="168" customWidth="1"/>
    <col min="5909" max="5909" width="0" style="168" hidden="1" customWidth="1"/>
    <col min="5910" max="5910" width="7.42578125" style="168" customWidth="1"/>
    <col min="5911" max="5911" width="19.28515625" style="168" customWidth="1"/>
    <col min="5912" max="6144" width="9.140625" style="168"/>
    <col min="6145" max="6145" width="4.7109375" style="168" customWidth="1"/>
    <col min="6146" max="6146" width="29.7109375" style="168" customWidth="1"/>
    <col min="6147" max="6147" width="0" style="168" hidden="1" customWidth="1"/>
    <col min="6148" max="6148" width="6.5703125" style="168" customWidth="1"/>
    <col min="6149" max="6149" width="7.85546875" style="168" customWidth="1"/>
    <col min="6150" max="6151" width="0" style="168" hidden="1" customWidth="1"/>
    <col min="6152" max="6153" width="7.85546875" style="168" customWidth="1"/>
    <col min="6154" max="6154" width="0" style="168" hidden="1" customWidth="1"/>
    <col min="6155" max="6155" width="6.85546875" style="168" customWidth="1"/>
    <col min="6156" max="6156" width="7.85546875" style="168" customWidth="1"/>
    <col min="6157" max="6158" width="0" style="168" hidden="1" customWidth="1"/>
    <col min="6159" max="6160" width="7.85546875" style="168" customWidth="1"/>
    <col min="6161" max="6161" width="7.42578125" style="168" customWidth="1"/>
    <col min="6162" max="6162" width="0" style="168" hidden="1" customWidth="1"/>
    <col min="6163" max="6164" width="7.42578125" style="168" customWidth="1"/>
    <col min="6165" max="6165" width="0" style="168" hidden="1" customWidth="1"/>
    <col min="6166" max="6166" width="7.42578125" style="168" customWidth="1"/>
    <col min="6167" max="6167" width="19.28515625" style="168" customWidth="1"/>
    <col min="6168" max="6400" width="9.140625" style="168"/>
    <col min="6401" max="6401" width="4.7109375" style="168" customWidth="1"/>
    <col min="6402" max="6402" width="29.7109375" style="168" customWidth="1"/>
    <col min="6403" max="6403" width="0" style="168" hidden="1" customWidth="1"/>
    <col min="6404" max="6404" width="6.5703125" style="168" customWidth="1"/>
    <col min="6405" max="6405" width="7.85546875" style="168" customWidth="1"/>
    <col min="6406" max="6407" width="0" style="168" hidden="1" customWidth="1"/>
    <col min="6408" max="6409" width="7.85546875" style="168" customWidth="1"/>
    <col min="6410" max="6410" width="0" style="168" hidden="1" customWidth="1"/>
    <col min="6411" max="6411" width="6.85546875" style="168" customWidth="1"/>
    <col min="6412" max="6412" width="7.85546875" style="168" customWidth="1"/>
    <col min="6413" max="6414" width="0" style="168" hidden="1" customWidth="1"/>
    <col min="6415" max="6416" width="7.85546875" style="168" customWidth="1"/>
    <col min="6417" max="6417" width="7.42578125" style="168" customWidth="1"/>
    <col min="6418" max="6418" width="0" style="168" hidden="1" customWidth="1"/>
    <col min="6419" max="6420" width="7.42578125" style="168" customWidth="1"/>
    <col min="6421" max="6421" width="0" style="168" hidden="1" customWidth="1"/>
    <col min="6422" max="6422" width="7.42578125" style="168" customWidth="1"/>
    <col min="6423" max="6423" width="19.28515625" style="168" customWidth="1"/>
    <col min="6424" max="6656" width="9.140625" style="168"/>
    <col min="6657" max="6657" width="4.7109375" style="168" customWidth="1"/>
    <col min="6658" max="6658" width="29.7109375" style="168" customWidth="1"/>
    <col min="6659" max="6659" width="0" style="168" hidden="1" customWidth="1"/>
    <col min="6660" max="6660" width="6.5703125" style="168" customWidth="1"/>
    <col min="6661" max="6661" width="7.85546875" style="168" customWidth="1"/>
    <col min="6662" max="6663" width="0" style="168" hidden="1" customWidth="1"/>
    <col min="6664" max="6665" width="7.85546875" style="168" customWidth="1"/>
    <col min="6666" max="6666" width="0" style="168" hidden="1" customWidth="1"/>
    <col min="6667" max="6667" width="6.85546875" style="168" customWidth="1"/>
    <col min="6668" max="6668" width="7.85546875" style="168" customWidth="1"/>
    <col min="6669" max="6670" width="0" style="168" hidden="1" customWidth="1"/>
    <col min="6671" max="6672" width="7.85546875" style="168" customWidth="1"/>
    <col min="6673" max="6673" width="7.42578125" style="168" customWidth="1"/>
    <col min="6674" max="6674" width="0" style="168" hidden="1" customWidth="1"/>
    <col min="6675" max="6676" width="7.42578125" style="168" customWidth="1"/>
    <col min="6677" max="6677" width="0" style="168" hidden="1" customWidth="1"/>
    <col min="6678" max="6678" width="7.42578125" style="168" customWidth="1"/>
    <col min="6679" max="6679" width="19.28515625" style="168" customWidth="1"/>
    <col min="6680" max="6912" width="9.140625" style="168"/>
    <col min="6913" max="6913" width="4.7109375" style="168" customWidth="1"/>
    <col min="6914" max="6914" width="29.7109375" style="168" customWidth="1"/>
    <col min="6915" max="6915" width="0" style="168" hidden="1" customWidth="1"/>
    <col min="6916" max="6916" width="6.5703125" style="168" customWidth="1"/>
    <col min="6917" max="6917" width="7.85546875" style="168" customWidth="1"/>
    <col min="6918" max="6919" width="0" style="168" hidden="1" customWidth="1"/>
    <col min="6920" max="6921" width="7.85546875" style="168" customWidth="1"/>
    <col min="6922" max="6922" width="0" style="168" hidden="1" customWidth="1"/>
    <col min="6923" max="6923" width="6.85546875" style="168" customWidth="1"/>
    <col min="6924" max="6924" width="7.85546875" style="168" customWidth="1"/>
    <col min="6925" max="6926" width="0" style="168" hidden="1" customWidth="1"/>
    <col min="6927" max="6928" width="7.85546875" style="168" customWidth="1"/>
    <col min="6929" max="6929" width="7.42578125" style="168" customWidth="1"/>
    <col min="6930" max="6930" width="0" style="168" hidden="1" customWidth="1"/>
    <col min="6931" max="6932" width="7.42578125" style="168" customWidth="1"/>
    <col min="6933" max="6933" width="0" style="168" hidden="1" customWidth="1"/>
    <col min="6934" max="6934" width="7.42578125" style="168" customWidth="1"/>
    <col min="6935" max="6935" width="19.28515625" style="168" customWidth="1"/>
    <col min="6936" max="7168" width="9.140625" style="168"/>
    <col min="7169" max="7169" width="4.7109375" style="168" customWidth="1"/>
    <col min="7170" max="7170" width="29.7109375" style="168" customWidth="1"/>
    <col min="7171" max="7171" width="0" style="168" hidden="1" customWidth="1"/>
    <col min="7172" max="7172" width="6.5703125" style="168" customWidth="1"/>
    <col min="7173" max="7173" width="7.85546875" style="168" customWidth="1"/>
    <col min="7174" max="7175" width="0" style="168" hidden="1" customWidth="1"/>
    <col min="7176" max="7177" width="7.85546875" style="168" customWidth="1"/>
    <col min="7178" max="7178" width="0" style="168" hidden="1" customWidth="1"/>
    <col min="7179" max="7179" width="6.85546875" style="168" customWidth="1"/>
    <col min="7180" max="7180" width="7.85546875" style="168" customWidth="1"/>
    <col min="7181" max="7182" width="0" style="168" hidden="1" customWidth="1"/>
    <col min="7183" max="7184" width="7.85546875" style="168" customWidth="1"/>
    <col min="7185" max="7185" width="7.42578125" style="168" customWidth="1"/>
    <col min="7186" max="7186" width="0" style="168" hidden="1" customWidth="1"/>
    <col min="7187" max="7188" width="7.42578125" style="168" customWidth="1"/>
    <col min="7189" max="7189" width="0" style="168" hidden="1" customWidth="1"/>
    <col min="7190" max="7190" width="7.42578125" style="168" customWidth="1"/>
    <col min="7191" max="7191" width="19.28515625" style="168" customWidth="1"/>
    <col min="7192" max="7424" width="9.140625" style="168"/>
    <col min="7425" max="7425" width="4.7109375" style="168" customWidth="1"/>
    <col min="7426" max="7426" width="29.7109375" style="168" customWidth="1"/>
    <col min="7427" max="7427" width="0" style="168" hidden="1" customWidth="1"/>
    <col min="7428" max="7428" width="6.5703125" style="168" customWidth="1"/>
    <col min="7429" max="7429" width="7.85546875" style="168" customWidth="1"/>
    <col min="7430" max="7431" width="0" style="168" hidden="1" customWidth="1"/>
    <col min="7432" max="7433" width="7.85546875" style="168" customWidth="1"/>
    <col min="7434" max="7434" width="0" style="168" hidden="1" customWidth="1"/>
    <col min="7435" max="7435" width="6.85546875" style="168" customWidth="1"/>
    <col min="7436" max="7436" width="7.85546875" style="168" customWidth="1"/>
    <col min="7437" max="7438" width="0" style="168" hidden="1" customWidth="1"/>
    <col min="7439" max="7440" width="7.85546875" style="168" customWidth="1"/>
    <col min="7441" max="7441" width="7.42578125" style="168" customWidth="1"/>
    <col min="7442" max="7442" width="0" style="168" hidden="1" customWidth="1"/>
    <col min="7443" max="7444" width="7.42578125" style="168" customWidth="1"/>
    <col min="7445" max="7445" width="0" style="168" hidden="1" customWidth="1"/>
    <col min="7446" max="7446" width="7.42578125" style="168" customWidth="1"/>
    <col min="7447" max="7447" width="19.28515625" style="168" customWidth="1"/>
    <col min="7448" max="7680" width="9.140625" style="168"/>
    <col min="7681" max="7681" width="4.7109375" style="168" customWidth="1"/>
    <col min="7682" max="7682" width="29.7109375" style="168" customWidth="1"/>
    <col min="7683" max="7683" width="0" style="168" hidden="1" customWidth="1"/>
    <col min="7684" max="7684" width="6.5703125" style="168" customWidth="1"/>
    <col min="7685" max="7685" width="7.85546875" style="168" customWidth="1"/>
    <col min="7686" max="7687" width="0" style="168" hidden="1" customWidth="1"/>
    <col min="7688" max="7689" width="7.85546875" style="168" customWidth="1"/>
    <col min="7690" max="7690" width="0" style="168" hidden="1" customWidth="1"/>
    <col min="7691" max="7691" width="6.85546875" style="168" customWidth="1"/>
    <col min="7692" max="7692" width="7.85546875" style="168" customWidth="1"/>
    <col min="7693" max="7694" width="0" style="168" hidden="1" customWidth="1"/>
    <col min="7695" max="7696" width="7.85546875" style="168" customWidth="1"/>
    <col min="7697" max="7697" width="7.42578125" style="168" customWidth="1"/>
    <col min="7698" max="7698" width="0" style="168" hidden="1" customWidth="1"/>
    <col min="7699" max="7700" width="7.42578125" style="168" customWidth="1"/>
    <col min="7701" max="7701" width="0" style="168" hidden="1" customWidth="1"/>
    <col min="7702" max="7702" width="7.42578125" style="168" customWidth="1"/>
    <col min="7703" max="7703" width="19.28515625" style="168" customWidth="1"/>
    <col min="7704" max="7936" width="9.140625" style="168"/>
    <col min="7937" max="7937" width="4.7109375" style="168" customWidth="1"/>
    <col min="7938" max="7938" width="29.7109375" style="168" customWidth="1"/>
    <col min="7939" max="7939" width="0" style="168" hidden="1" customWidth="1"/>
    <col min="7940" max="7940" width="6.5703125" style="168" customWidth="1"/>
    <col min="7941" max="7941" width="7.85546875" style="168" customWidth="1"/>
    <col min="7942" max="7943" width="0" style="168" hidden="1" customWidth="1"/>
    <col min="7944" max="7945" width="7.85546875" style="168" customWidth="1"/>
    <col min="7946" max="7946" width="0" style="168" hidden="1" customWidth="1"/>
    <col min="7947" max="7947" width="6.85546875" style="168" customWidth="1"/>
    <col min="7948" max="7948" width="7.85546875" style="168" customWidth="1"/>
    <col min="7949" max="7950" width="0" style="168" hidden="1" customWidth="1"/>
    <col min="7951" max="7952" width="7.85546875" style="168" customWidth="1"/>
    <col min="7953" max="7953" width="7.42578125" style="168" customWidth="1"/>
    <col min="7954" max="7954" width="0" style="168" hidden="1" customWidth="1"/>
    <col min="7955" max="7956" width="7.42578125" style="168" customWidth="1"/>
    <col min="7957" max="7957" width="0" style="168" hidden="1" customWidth="1"/>
    <col min="7958" max="7958" width="7.42578125" style="168" customWidth="1"/>
    <col min="7959" max="7959" width="19.28515625" style="168" customWidth="1"/>
    <col min="7960" max="8192" width="9.140625" style="168"/>
    <col min="8193" max="8193" width="4.7109375" style="168" customWidth="1"/>
    <col min="8194" max="8194" width="29.7109375" style="168" customWidth="1"/>
    <col min="8195" max="8195" width="0" style="168" hidden="1" customWidth="1"/>
    <col min="8196" max="8196" width="6.5703125" style="168" customWidth="1"/>
    <col min="8197" max="8197" width="7.85546875" style="168" customWidth="1"/>
    <col min="8198" max="8199" width="0" style="168" hidden="1" customWidth="1"/>
    <col min="8200" max="8201" width="7.85546875" style="168" customWidth="1"/>
    <col min="8202" max="8202" width="0" style="168" hidden="1" customWidth="1"/>
    <col min="8203" max="8203" width="6.85546875" style="168" customWidth="1"/>
    <col min="8204" max="8204" width="7.85546875" style="168" customWidth="1"/>
    <col min="8205" max="8206" width="0" style="168" hidden="1" customWidth="1"/>
    <col min="8207" max="8208" width="7.85546875" style="168" customWidth="1"/>
    <col min="8209" max="8209" width="7.42578125" style="168" customWidth="1"/>
    <col min="8210" max="8210" width="0" style="168" hidden="1" customWidth="1"/>
    <col min="8211" max="8212" width="7.42578125" style="168" customWidth="1"/>
    <col min="8213" max="8213" width="0" style="168" hidden="1" customWidth="1"/>
    <col min="8214" max="8214" width="7.42578125" style="168" customWidth="1"/>
    <col min="8215" max="8215" width="19.28515625" style="168" customWidth="1"/>
    <col min="8216" max="8448" width="9.140625" style="168"/>
    <col min="8449" max="8449" width="4.7109375" style="168" customWidth="1"/>
    <col min="8450" max="8450" width="29.7109375" style="168" customWidth="1"/>
    <col min="8451" max="8451" width="0" style="168" hidden="1" customWidth="1"/>
    <col min="8452" max="8452" width="6.5703125" style="168" customWidth="1"/>
    <col min="8453" max="8453" width="7.85546875" style="168" customWidth="1"/>
    <col min="8454" max="8455" width="0" style="168" hidden="1" customWidth="1"/>
    <col min="8456" max="8457" width="7.85546875" style="168" customWidth="1"/>
    <col min="8458" max="8458" width="0" style="168" hidden="1" customWidth="1"/>
    <col min="8459" max="8459" width="6.85546875" style="168" customWidth="1"/>
    <col min="8460" max="8460" width="7.85546875" style="168" customWidth="1"/>
    <col min="8461" max="8462" width="0" style="168" hidden="1" customWidth="1"/>
    <col min="8463" max="8464" width="7.85546875" style="168" customWidth="1"/>
    <col min="8465" max="8465" width="7.42578125" style="168" customWidth="1"/>
    <col min="8466" max="8466" width="0" style="168" hidden="1" customWidth="1"/>
    <col min="8467" max="8468" width="7.42578125" style="168" customWidth="1"/>
    <col min="8469" max="8469" width="0" style="168" hidden="1" customWidth="1"/>
    <col min="8470" max="8470" width="7.42578125" style="168" customWidth="1"/>
    <col min="8471" max="8471" width="19.28515625" style="168" customWidth="1"/>
    <col min="8472" max="8704" width="9.140625" style="168"/>
    <col min="8705" max="8705" width="4.7109375" style="168" customWidth="1"/>
    <col min="8706" max="8706" width="29.7109375" style="168" customWidth="1"/>
    <col min="8707" max="8707" width="0" style="168" hidden="1" customWidth="1"/>
    <col min="8708" max="8708" width="6.5703125" style="168" customWidth="1"/>
    <col min="8709" max="8709" width="7.85546875" style="168" customWidth="1"/>
    <col min="8710" max="8711" width="0" style="168" hidden="1" customWidth="1"/>
    <col min="8712" max="8713" width="7.85546875" style="168" customWidth="1"/>
    <col min="8714" max="8714" width="0" style="168" hidden="1" customWidth="1"/>
    <col min="8715" max="8715" width="6.85546875" style="168" customWidth="1"/>
    <col min="8716" max="8716" width="7.85546875" style="168" customWidth="1"/>
    <col min="8717" max="8718" width="0" style="168" hidden="1" customWidth="1"/>
    <col min="8719" max="8720" width="7.85546875" style="168" customWidth="1"/>
    <col min="8721" max="8721" width="7.42578125" style="168" customWidth="1"/>
    <col min="8722" max="8722" width="0" style="168" hidden="1" customWidth="1"/>
    <col min="8723" max="8724" width="7.42578125" style="168" customWidth="1"/>
    <col min="8725" max="8725" width="0" style="168" hidden="1" customWidth="1"/>
    <col min="8726" max="8726" width="7.42578125" style="168" customWidth="1"/>
    <col min="8727" max="8727" width="19.28515625" style="168" customWidth="1"/>
    <col min="8728" max="8960" width="9.140625" style="168"/>
    <col min="8961" max="8961" width="4.7109375" style="168" customWidth="1"/>
    <col min="8962" max="8962" width="29.7109375" style="168" customWidth="1"/>
    <col min="8963" max="8963" width="0" style="168" hidden="1" customWidth="1"/>
    <col min="8964" max="8964" width="6.5703125" style="168" customWidth="1"/>
    <col min="8965" max="8965" width="7.85546875" style="168" customWidth="1"/>
    <col min="8966" max="8967" width="0" style="168" hidden="1" customWidth="1"/>
    <col min="8968" max="8969" width="7.85546875" style="168" customWidth="1"/>
    <col min="8970" max="8970" width="0" style="168" hidden="1" customWidth="1"/>
    <col min="8971" max="8971" width="6.85546875" style="168" customWidth="1"/>
    <col min="8972" max="8972" width="7.85546875" style="168" customWidth="1"/>
    <col min="8973" max="8974" width="0" style="168" hidden="1" customWidth="1"/>
    <col min="8975" max="8976" width="7.85546875" style="168" customWidth="1"/>
    <col min="8977" max="8977" width="7.42578125" style="168" customWidth="1"/>
    <col min="8978" max="8978" width="0" style="168" hidden="1" customWidth="1"/>
    <col min="8979" max="8980" width="7.42578125" style="168" customWidth="1"/>
    <col min="8981" max="8981" width="0" style="168" hidden="1" customWidth="1"/>
    <col min="8982" max="8982" width="7.42578125" style="168" customWidth="1"/>
    <col min="8983" max="8983" width="19.28515625" style="168" customWidth="1"/>
    <col min="8984" max="9216" width="9.140625" style="168"/>
    <col min="9217" max="9217" width="4.7109375" style="168" customWidth="1"/>
    <col min="9218" max="9218" width="29.7109375" style="168" customWidth="1"/>
    <col min="9219" max="9219" width="0" style="168" hidden="1" customWidth="1"/>
    <col min="9220" max="9220" width="6.5703125" style="168" customWidth="1"/>
    <col min="9221" max="9221" width="7.85546875" style="168" customWidth="1"/>
    <col min="9222" max="9223" width="0" style="168" hidden="1" customWidth="1"/>
    <col min="9224" max="9225" width="7.85546875" style="168" customWidth="1"/>
    <col min="9226" max="9226" width="0" style="168" hidden="1" customWidth="1"/>
    <col min="9227" max="9227" width="6.85546875" style="168" customWidth="1"/>
    <col min="9228" max="9228" width="7.85546875" style="168" customWidth="1"/>
    <col min="9229" max="9230" width="0" style="168" hidden="1" customWidth="1"/>
    <col min="9231" max="9232" width="7.85546875" style="168" customWidth="1"/>
    <col min="9233" max="9233" width="7.42578125" style="168" customWidth="1"/>
    <col min="9234" max="9234" width="0" style="168" hidden="1" customWidth="1"/>
    <col min="9235" max="9236" width="7.42578125" style="168" customWidth="1"/>
    <col min="9237" max="9237" width="0" style="168" hidden="1" customWidth="1"/>
    <col min="9238" max="9238" width="7.42578125" style="168" customWidth="1"/>
    <col min="9239" max="9239" width="19.28515625" style="168" customWidth="1"/>
    <col min="9240" max="9472" width="9.140625" style="168"/>
    <col min="9473" max="9473" width="4.7109375" style="168" customWidth="1"/>
    <col min="9474" max="9474" width="29.7109375" style="168" customWidth="1"/>
    <col min="9475" max="9475" width="0" style="168" hidden="1" customWidth="1"/>
    <col min="9476" max="9476" width="6.5703125" style="168" customWidth="1"/>
    <col min="9477" max="9477" width="7.85546875" style="168" customWidth="1"/>
    <col min="9478" max="9479" width="0" style="168" hidden="1" customWidth="1"/>
    <col min="9480" max="9481" width="7.85546875" style="168" customWidth="1"/>
    <col min="9482" max="9482" width="0" style="168" hidden="1" customWidth="1"/>
    <col min="9483" max="9483" width="6.85546875" style="168" customWidth="1"/>
    <col min="9484" max="9484" width="7.85546875" style="168" customWidth="1"/>
    <col min="9485" max="9486" width="0" style="168" hidden="1" customWidth="1"/>
    <col min="9487" max="9488" width="7.85546875" style="168" customWidth="1"/>
    <col min="9489" max="9489" width="7.42578125" style="168" customWidth="1"/>
    <col min="9490" max="9490" width="0" style="168" hidden="1" customWidth="1"/>
    <col min="9491" max="9492" width="7.42578125" style="168" customWidth="1"/>
    <col min="9493" max="9493" width="0" style="168" hidden="1" customWidth="1"/>
    <col min="9494" max="9494" width="7.42578125" style="168" customWidth="1"/>
    <col min="9495" max="9495" width="19.28515625" style="168" customWidth="1"/>
    <col min="9496" max="9728" width="9.140625" style="168"/>
    <col min="9729" max="9729" width="4.7109375" style="168" customWidth="1"/>
    <col min="9730" max="9730" width="29.7109375" style="168" customWidth="1"/>
    <col min="9731" max="9731" width="0" style="168" hidden="1" customWidth="1"/>
    <col min="9732" max="9732" width="6.5703125" style="168" customWidth="1"/>
    <col min="9733" max="9733" width="7.85546875" style="168" customWidth="1"/>
    <col min="9734" max="9735" width="0" style="168" hidden="1" customWidth="1"/>
    <col min="9736" max="9737" width="7.85546875" style="168" customWidth="1"/>
    <col min="9738" max="9738" width="0" style="168" hidden="1" customWidth="1"/>
    <col min="9739" max="9739" width="6.85546875" style="168" customWidth="1"/>
    <col min="9740" max="9740" width="7.85546875" style="168" customWidth="1"/>
    <col min="9741" max="9742" width="0" style="168" hidden="1" customWidth="1"/>
    <col min="9743" max="9744" width="7.85546875" style="168" customWidth="1"/>
    <col min="9745" max="9745" width="7.42578125" style="168" customWidth="1"/>
    <col min="9746" max="9746" width="0" style="168" hidden="1" customWidth="1"/>
    <col min="9747" max="9748" width="7.42578125" style="168" customWidth="1"/>
    <col min="9749" max="9749" width="0" style="168" hidden="1" customWidth="1"/>
    <col min="9750" max="9750" width="7.42578125" style="168" customWidth="1"/>
    <col min="9751" max="9751" width="19.28515625" style="168" customWidth="1"/>
    <col min="9752" max="9984" width="9.140625" style="168"/>
    <col min="9985" max="9985" width="4.7109375" style="168" customWidth="1"/>
    <col min="9986" max="9986" width="29.7109375" style="168" customWidth="1"/>
    <col min="9987" max="9987" width="0" style="168" hidden="1" customWidth="1"/>
    <col min="9988" max="9988" width="6.5703125" style="168" customWidth="1"/>
    <col min="9989" max="9989" width="7.85546875" style="168" customWidth="1"/>
    <col min="9990" max="9991" width="0" style="168" hidden="1" customWidth="1"/>
    <col min="9992" max="9993" width="7.85546875" style="168" customWidth="1"/>
    <col min="9994" max="9994" width="0" style="168" hidden="1" customWidth="1"/>
    <col min="9995" max="9995" width="6.85546875" style="168" customWidth="1"/>
    <col min="9996" max="9996" width="7.85546875" style="168" customWidth="1"/>
    <col min="9997" max="9998" width="0" style="168" hidden="1" customWidth="1"/>
    <col min="9999" max="10000" width="7.85546875" style="168" customWidth="1"/>
    <col min="10001" max="10001" width="7.42578125" style="168" customWidth="1"/>
    <col min="10002" max="10002" width="0" style="168" hidden="1" customWidth="1"/>
    <col min="10003" max="10004" width="7.42578125" style="168" customWidth="1"/>
    <col min="10005" max="10005" width="0" style="168" hidden="1" customWidth="1"/>
    <col min="10006" max="10006" width="7.42578125" style="168" customWidth="1"/>
    <col min="10007" max="10007" width="19.28515625" style="168" customWidth="1"/>
    <col min="10008" max="10240" width="9.140625" style="168"/>
    <col min="10241" max="10241" width="4.7109375" style="168" customWidth="1"/>
    <col min="10242" max="10242" width="29.7109375" style="168" customWidth="1"/>
    <col min="10243" max="10243" width="0" style="168" hidden="1" customWidth="1"/>
    <col min="10244" max="10244" width="6.5703125" style="168" customWidth="1"/>
    <col min="10245" max="10245" width="7.85546875" style="168" customWidth="1"/>
    <col min="10246" max="10247" width="0" style="168" hidden="1" customWidth="1"/>
    <col min="10248" max="10249" width="7.85546875" style="168" customWidth="1"/>
    <col min="10250" max="10250" width="0" style="168" hidden="1" customWidth="1"/>
    <col min="10251" max="10251" width="6.85546875" style="168" customWidth="1"/>
    <col min="10252" max="10252" width="7.85546875" style="168" customWidth="1"/>
    <col min="10253" max="10254" width="0" style="168" hidden="1" customWidth="1"/>
    <col min="10255" max="10256" width="7.85546875" style="168" customWidth="1"/>
    <col min="10257" max="10257" width="7.42578125" style="168" customWidth="1"/>
    <col min="10258" max="10258" width="0" style="168" hidden="1" customWidth="1"/>
    <col min="10259" max="10260" width="7.42578125" style="168" customWidth="1"/>
    <col min="10261" max="10261" width="0" style="168" hidden="1" customWidth="1"/>
    <col min="10262" max="10262" width="7.42578125" style="168" customWidth="1"/>
    <col min="10263" max="10263" width="19.28515625" style="168" customWidth="1"/>
    <col min="10264" max="10496" width="9.140625" style="168"/>
    <col min="10497" max="10497" width="4.7109375" style="168" customWidth="1"/>
    <col min="10498" max="10498" width="29.7109375" style="168" customWidth="1"/>
    <col min="10499" max="10499" width="0" style="168" hidden="1" customWidth="1"/>
    <col min="10500" max="10500" width="6.5703125" style="168" customWidth="1"/>
    <col min="10501" max="10501" width="7.85546875" style="168" customWidth="1"/>
    <col min="10502" max="10503" width="0" style="168" hidden="1" customWidth="1"/>
    <col min="10504" max="10505" width="7.85546875" style="168" customWidth="1"/>
    <col min="10506" max="10506" width="0" style="168" hidden="1" customWidth="1"/>
    <col min="10507" max="10507" width="6.85546875" style="168" customWidth="1"/>
    <col min="10508" max="10508" width="7.85546875" style="168" customWidth="1"/>
    <col min="10509" max="10510" width="0" style="168" hidden="1" customWidth="1"/>
    <col min="10511" max="10512" width="7.85546875" style="168" customWidth="1"/>
    <col min="10513" max="10513" width="7.42578125" style="168" customWidth="1"/>
    <col min="10514" max="10514" width="0" style="168" hidden="1" customWidth="1"/>
    <col min="10515" max="10516" width="7.42578125" style="168" customWidth="1"/>
    <col min="10517" max="10517" width="0" style="168" hidden="1" customWidth="1"/>
    <col min="10518" max="10518" width="7.42578125" style="168" customWidth="1"/>
    <col min="10519" max="10519" width="19.28515625" style="168" customWidth="1"/>
    <col min="10520" max="10752" width="9.140625" style="168"/>
    <col min="10753" max="10753" width="4.7109375" style="168" customWidth="1"/>
    <col min="10754" max="10754" width="29.7109375" style="168" customWidth="1"/>
    <col min="10755" max="10755" width="0" style="168" hidden="1" customWidth="1"/>
    <col min="10756" max="10756" width="6.5703125" style="168" customWidth="1"/>
    <col min="10757" max="10757" width="7.85546875" style="168" customWidth="1"/>
    <col min="10758" max="10759" width="0" style="168" hidden="1" customWidth="1"/>
    <col min="10760" max="10761" width="7.85546875" style="168" customWidth="1"/>
    <col min="10762" max="10762" width="0" style="168" hidden="1" customWidth="1"/>
    <col min="10763" max="10763" width="6.85546875" style="168" customWidth="1"/>
    <col min="10764" max="10764" width="7.85546875" style="168" customWidth="1"/>
    <col min="10765" max="10766" width="0" style="168" hidden="1" customWidth="1"/>
    <col min="10767" max="10768" width="7.85546875" style="168" customWidth="1"/>
    <col min="10769" max="10769" width="7.42578125" style="168" customWidth="1"/>
    <col min="10770" max="10770" width="0" style="168" hidden="1" customWidth="1"/>
    <col min="10771" max="10772" width="7.42578125" style="168" customWidth="1"/>
    <col min="10773" max="10773" width="0" style="168" hidden="1" customWidth="1"/>
    <col min="10774" max="10774" width="7.42578125" style="168" customWidth="1"/>
    <col min="10775" max="10775" width="19.28515625" style="168" customWidth="1"/>
    <col min="10776" max="11008" width="9.140625" style="168"/>
    <col min="11009" max="11009" width="4.7109375" style="168" customWidth="1"/>
    <col min="11010" max="11010" width="29.7109375" style="168" customWidth="1"/>
    <col min="11011" max="11011" width="0" style="168" hidden="1" customWidth="1"/>
    <col min="11012" max="11012" width="6.5703125" style="168" customWidth="1"/>
    <col min="11013" max="11013" width="7.85546875" style="168" customWidth="1"/>
    <col min="11014" max="11015" width="0" style="168" hidden="1" customWidth="1"/>
    <col min="11016" max="11017" width="7.85546875" style="168" customWidth="1"/>
    <col min="11018" max="11018" width="0" style="168" hidden="1" customWidth="1"/>
    <col min="11019" max="11019" width="6.85546875" style="168" customWidth="1"/>
    <col min="11020" max="11020" width="7.85546875" style="168" customWidth="1"/>
    <col min="11021" max="11022" width="0" style="168" hidden="1" customWidth="1"/>
    <col min="11023" max="11024" width="7.85546875" style="168" customWidth="1"/>
    <col min="11025" max="11025" width="7.42578125" style="168" customWidth="1"/>
    <col min="11026" max="11026" width="0" style="168" hidden="1" customWidth="1"/>
    <col min="11027" max="11028" width="7.42578125" style="168" customWidth="1"/>
    <col min="11029" max="11029" width="0" style="168" hidden="1" customWidth="1"/>
    <col min="11030" max="11030" width="7.42578125" style="168" customWidth="1"/>
    <col min="11031" max="11031" width="19.28515625" style="168" customWidth="1"/>
    <col min="11032" max="11264" width="9.140625" style="168"/>
    <col min="11265" max="11265" width="4.7109375" style="168" customWidth="1"/>
    <col min="11266" max="11266" width="29.7109375" style="168" customWidth="1"/>
    <col min="11267" max="11267" width="0" style="168" hidden="1" customWidth="1"/>
    <col min="11268" max="11268" width="6.5703125" style="168" customWidth="1"/>
    <col min="11269" max="11269" width="7.85546875" style="168" customWidth="1"/>
    <col min="11270" max="11271" width="0" style="168" hidden="1" customWidth="1"/>
    <col min="11272" max="11273" width="7.85546875" style="168" customWidth="1"/>
    <col min="11274" max="11274" width="0" style="168" hidden="1" customWidth="1"/>
    <col min="11275" max="11275" width="6.85546875" style="168" customWidth="1"/>
    <col min="11276" max="11276" width="7.85546875" style="168" customWidth="1"/>
    <col min="11277" max="11278" width="0" style="168" hidden="1" customWidth="1"/>
    <col min="11279" max="11280" width="7.85546875" style="168" customWidth="1"/>
    <col min="11281" max="11281" width="7.42578125" style="168" customWidth="1"/>
    <col min="11282" max="11282" width="0" style="168" hidden="1" customWidth="1"/>
    <col min="11283" max="11284" width="7.42578125" style="168" customWidth="1"/>
    <col min="11285" max="11285" width="0" style="168" hidden="1" customWidth="1"/>
    <col min="11286" max="11286" width="7.42578125" style="168" customWidth="1"/>
    <col min="11287" max="11287" width="19.28515625" style="168" customWidth="1"/>
    <col min="11288" max="11520" width="9.140625" style="168"/>
    <col min="11521" max="11521" width="4.7109375" style="168" customWidth="1"/>
    <col min="11522" max="11522" width="29.7109375" style="168" customWidth="1"/>
    <col min="11523" max="11523" width="0" style="168" hidden="1" customWidth="1"/>
    <col min="11524" max="11524" width="6.5703125" style="168" customWidth="1"/>
    <col min="11525" max="11525" width="7.85546875" style="168" customWidth="1"/>
    <col min="11526" max="11527" width="0" style="168" hidden="1" customWidth="1"/>
    <col min="11528" max="11529" width="7.85546875" style="168" customWidth="1"/>
    <col min="11530" max="11530" width="0" style="168" hidden="1" customWidth="1"/>
    <col min="11531" max="11531" width="6.85546875" style="168" customWidth="1"/>
    <col min="11532" max="11532" width="7.85546875" style="168" customWidth="1"/>
    <col min="11533" max="11534" width="0" style="168" hidden="1" customWidth="1"/>
    <col min="11535" max="11536" width="7.85546875" style="168" customWidth="1"/>
    <col min="11537" max="11537" width="7.42578125" style="168" customWidth="1"/>
    <col min="11538" max="11538" width="0" style="168" hidden="1" customWidth="1"/>
    <col min="11539" max="11540" width="7.42578125" style="168" customWidth="1"/>
    <col min="11541" max="11541" width="0" style="168" hidden="1" customWidth="1"/>
    <col min="11542" max="11542" width="7.42578125" style="168" customWidth="1"/>
    <col min="11543" max="11543" width="19.28515625" style="168" customWidth="1"/>
    <col min="11544" max="11776" width="9.140625" style="168"/>
    <col min="11777" max="11777" width="4.7109375" style="168" customWidth="1"/>
    <col min="11778" max="11778" width="29.7109375" style="168" customWidth="1"/>
    <col min="11779" max="11779" width="0" style="168" hidden="1" customWidth="1"/>
    <col min="11780" max="11780" width="6.5703125" style="168" customWidth="1"/>
    <col min="11781" max="11781" width="7.85546875" style="168" customWidth="1"/>
    <col min="11782" max="11783" width="0" style="168" hidden="1" customWidth="1"/>
    <col min="11784" max="11785" width="7.85546875" style="168" customWidth="1"/>
    <col min="11786" max="11786" width="0" style="168" hidden="1" customWidth="1"/>
    <col min="11787" max="11787" width="6.85546875" style="168" customWidth="1"/>
    <col min="11788" max="11788" width="7.85546875" style="168" customWidth="1"/>
    <col min="11789" max="11790" width="0" style="168" hidden="1" customWidth="1"/>
    <col min="11791" max="11792" width="7.85546875" style="168" customWidth="1"/>
    <col min="11793" max="11793" width="7.42578125" style="168" customWidth="1"/>
    <col min="11794" max="11794" width="0" style="168" hidden="1" customWidth="1"/>
    <col min="11795" max="11796" width="7.42578125" style="168" customWidth="1"/>
    <col min="11797" max="11797" width="0" style="168" hidden="1" customWidth="1"/>
    <col min="11798" max="11798" width="7.42578125" style="168" customWidth="1"/>
    <col min="11799" max="11799" width="19.28515625" style="168" customWidth="1"/>
    <col min="11800" max="12032" width="9.140625" style="168"/>
    <col min="12033" max="12033" width="4.7109375" style="168" customWidth="1"/>
    <col min="12034" max="12034" width="29.7109375" style="168" customWidth="1"/>
    <col min="12035" max="12035" width="0" style="168" hidden="1" customWidth="1"/>
    <col min="12036" max="12036" width="6.5703125" style="168" customWidth="1"/>
    <col min="12037" max="12037" width="7.85546875" style="168" customWidth="1"/>
    <col min="12038" max="12039" width="0" style="168" hidden="1" customWidth="1"/>
    <col min="12040" max="12041" width="7.85546875" style="168" customWidth="1"/>
    <col min="12042" max="12042" width="0" style="168" hidden="1" customWidth="1"/>
    <col min="12043" max="12043" width="6.85546875" style="168" customWidth="1"/>
    <col min="12044" max="12044" width="7.85546875" style="168" customWidth="1"/>
    <col min="12045" max="12046" width="0" style="168" hidden="1" customWidth="1"/>
    <col min="12047" max="12048" width="7.85546875" style="168" customWidth="1"/>
    <col min="12049" max="12049" width="7.42578125" style="168" customWidth="1"/>
    <col min="12050" max="12050" width="0" style="168" hidden="1" customWidth="1"/>
    <col min="12051" max="12052" width="7.42578125" style="168" customWidth="1"/>
    <col min="12053" max="12053" width="0" style="168" hidden="1" customWidth="1"/>
    <col min="12054" max="12054" width="7.42578125" style="168" customWidth="1"/>
    <col min="12055" max="12055" width="19.28515625" style="168" customWidth="1"/>
    <col min="12056" max="12288" width="9.140625" style="168"/>
    <col min="12289" max="12289" width="4.7109375" style="168" customWidth="1"/>
    <col min="12290" max="12290" width="29.7109375" style="168" customWidth="1"/>
    <col min="12291" max="12291" width="0" style="168" hidden="1" customWidth="1"/>
    <col min="12292" max="12292" width="6.5703125" style="168" customWidth="1"/>
    <col min="12293" max="12293" width="7.85546875" style="168" customWidth="1"/>
    <col min="12294" max="12295" width="0" style="168" hidden="1" customWidth="1"/>
    <col min="12296" max="12297" width="7.85546875" style="168" customWidth="1"/>
    <col min="12298" max="12298" width="0" style="168" hidden="1" customWidth="1"/>
    <col min="12299" max="12299" width="6.85546875" style="168" customWidth="1"/>
    <col min="12300" max="12300" width="7.85546875" style="168" customWidth="1"/>
    <col min="12301" max="12302" width="0" style="168" hidden="1" customWidth="1"/>
    <col min="12303" max="12304" width="7.85546875" style="168" customWidth="1"/>
    <col min="12305" max="12305" width="7.42578125" style="168" customWidth="1"/>
    <col min="12306" max="12306" width="0" style="168" hidden="1" customWidth="1"/>
    <col min="12307" max="12308" width="7.42578125" style="168" customWidth="1"/>
    <col min="12309" max="12309" width="0" style="168" hidden="1" customWidth="1"/>
    <col min="12310" max="12310" width="7.42578125" style="168" customWidth="1"/>
    <col min="12311" max="12311" width="19.28515625" style="168" customWidth="1"/>
    <col min="12312" max="12544" width="9.140625" style="168"/>
    <col min="12545" max="12545" width="4.7109375" style="168" customWidth="1"/>
    <col min="12546" max="12546" width="29.7109375" style="168" customWidth="1"/>
    <col min="12547" max="12547" width="0" style="168" hidden="1" customWidth="1"/>
    <col min="12548" max="12548" width="6.5703125" style="168" customWidth="1"/>
    <col min="12549" max="12549" width="7.85546875" style="168" customWidth="1"/>
    <col min="12550" max="12551" width="0" style="168" hidden="1" customWidth="1"/>
    <col min="12552" max="12553" width="7.85546875" style="168" customWidth="1"/>
    <col min="12554" max="12554" width="0" style="168" hidden="1" customWidth="1"/>
    <col min="12555" max="12555" width="6.85546875" style="168" customWidth="1"/>
    <col min="12556" max="12556" width="7.85546875" style="168" customWidth="1"/>
    <col min="12557" max="12558" width="0" style="168" hidden="1" customWidth="1"/>
    <col min="12559" max="12560" width="7.85546875" style="168" customWidth="1"/>
    <col min="12561" max="12561" width="7.42578125" style="168" customWidth="1"/>
    <col min="12562" max="12562" width="0" style="168" hidden="1" customWidth="1"/>
    <col min="12563" max="12564" width="7.42578125" style="168" customWidth="1"/>
    <col min="12565" max="12565" width="0" style="168" hidden="1" customWidth="1"/>
    <col min="12566" max="12566" width="7.42578125" style="168" customWidth="1"/>
    <col min="12567" max="12567" width="19.28515625" style="168" customWidth="1"/>
    <col min="12568" max="12800" width="9.140625" style="168"/>
    <col min="12801" max="12801" width="4.7109375" style="168" customWidth="1"/>
    <col min="12802" max="12802" width="29.7109375" style="168" customWidth="1"/>
    <col min="12803" max="12803" width="0" style="168" hidden="1" customWidth="1"/>
    <col min="12804" max="12804" width="6.5703125" style="168" customWidth="1"/>
    <col min="12805" max="12805" width="7.85546875" style="168" customWidth="1"/>
    <col min="12806" max="12807" width="0" style="168" hidden="1" customWidth="1"/>
    <col min="12808" max="12809" width="7.85546875" style="168" customWidth="1"/>
    <col min="12810" max="12810" width="0" style="168" hidden="1" customWidth="1"/>
    <col min="12811" max="12811" width="6.85546875" style="168" customWidth="1"/>
    <col min="12812" max="12812" width="7.85546875" style="168" customWidth="1"/>
    <col min="12813" max="12814" width="0" style="168" hidden="1" customWidth="1"/>
    <col min="12815" max="12816" width="7.85546875" style="168" customWidth="1"/>
    <col min="12817" max="12817" width="7.42578125" style="168" customWidth="1"/>
    <col min="12818" max="12818" width="0" style="168" hidden="1" customWidth="1"/>
    <col min="12819" max="12820" width="7.42578125" style="168" customWidth="1"/>
    <col min="12821" max="12821" width="0" style="168" hidden="1" customWidth="1"/>
    <col min="12822" max="12822" width="7.42578125" style="168" customWidth="1"/>
    <col min="12823" max="12823" width="19.28515625" style="168" customWidth="1"/>
    <col min="12824" max="13056" width="9.140625" style="168"/>
    <col min="13057" max="13057" width="4.7109375" style="168" customWidth="1"/>
    <col min="13058" max="13058" width="29.7109375" style="168" customWidth="1"/>
    <col min="13059" max="13059" width="0" style="168" hidden="1" customWidth="1"/>
    <col min="13060" max="13060" width="6.5703125" style="168" customWidth="1"/>
    <col min="13061" max="13061" width="7.85546875" style="168" customWidth="1"/>
    <col min="13062" max="13063" width="0" style="168" hidden="1" customWidth="1"/>
    <col min="13064" max="13065" width="7.85546875" style="168" customWidth="1"/>
    <col min="13066" max="13066" width="0" style="168" hidden="1" customWidth="1"/>
    <col min="13067" max="13067" width="6.85546875" style="168" customWidth="1"/>
    <col min="13068" max="13068" width="7.85546875" style="168" customWidth="1"/>
    <col min="13069" max="13070" width="0" style="168" hidden="1" customWidth="1"/>
    <col min="13071" max="13072" width="7.85546875" style="168" customWidth="1"/>
    <col min="13073" max="13073" width="7.42578125" style="168" customWidth="1"/>
    <col min="13074" max="13074" width="0" style="168" hidden="1" customWidth="1"/>
    <col min="13075" max="13076" width="7.42578125" style="168" customWidth="1"/>
    <col min="13077" max="13077" width="0" style="168" hidden="1" customWidth="1"/>
    <col min="13078" max="13078" width="7.42578125" style="168" customWidth="1"/>
    <col min="13079" max="13079" width="19.28515625" style="168" customWidth="1"/>
    <col min="13080" max="13312" width="9.140625" style="168"/>
    <col min="13313" max="13313" width="4.7109375" style="168" customWidth="1"/>
    <col min="13314" max="13314" width="29.7109375" style="168" customWidth="1"/>
    <col min="13315" max="13315" width="0" style="168" hidden="1" customWidth="1"/>
    <col min="13316" max="13316" width="6.5703125" style="168" customWidth="1"/>
    <col min="13317" max="13317" width="7.85546875" style="168" customWidth="1"/>
    <col min="13318" max="13319" width="0" style="168" hidden="1" customWidth="1"/>
    <col min="13320" max="13321" width="7.85546875" style="168" customWidth="1"/>
    <col min="13322" max="13322" width="0" style="168" hidden="1" customWidth="1"/>
    <col min="13323" max="13323" width="6.85546875" style="168" customWidth="1"/>
    <col min="13324" max="13324" width="7.85546875" style="168" customWidth="1"/>
    <col min="13325" max="13326" width="0" style="168" hidden="1" customWidth="1"/>
    <col min="13327" max="13328" width="7.85546875" style="168" customWidth="1"/>
    <col min="13329" max="13329" width="7.42578125" style="168" customWidth="1"/>
    <col min="13330" max="13330" width="0" style="168" hidden="1" customWidth="1"/>
    <col min="13331" max="13332" width="7.42578125" style="168" customWidth="1"/>
    <col min="13333" max="13333" width="0" style="168" hidden="1" customWidth="1"/>
    <col min="13334" max="13334" width="7.42578125" style="168" customWidth="1"/>
    <col min="13335" max="13335" width="19.28515625" style="168" customWidth="1"/>
    <col min="13336" max="13568" width="9.140625" style="168"/>
    <col min="13569" max="13569" width="4.7109375" style="168" customWidth="1"/>
    <col min="13570" max="13570" width="29.7109375" style="168" customWidth="1"/>
    <col min="13571" max="13571" width="0" style="168" hidden="1" customWidth="1"/>
    <col min="13572" max="13572" width="6.5703125" style="168" customWidth="1"/>
    <col min="13573" max="13573" width="7.85546875" style="168" customWidth="1"/>
    <col min="13574" max="13575" width="0" style="168" hidden="1" customWidth="1"/>
    <col min="13576" max="13577" width="7.85546875" style="168" customWidth="1"/>
    <col min="13578" max="13578" width="0" style="168" hidden="1" customWidth="1"/>
    <col min="13579" max="13579" width="6.85546875" style="168" customWidth="1"/>
    <col min="13580" max="13580" width="7.85546875" style="168" customWidth="1"/>
    <col min="13581" max="13582" width="0" style="168" hidden="1" customWidth="1"/>
    <col min="13583" max="13584" width="7.85546875" style="168" customWidth="1"/>
    <col min="13585" max="13585" width="7.42578125" style="168" customWidth="1"/>
    <col min="13586" max="13586" width="0" style="168" hidden="1" customWidth="1"/>
    <col min="13587" max="13588" width="7.42578125" style="168" customWidth="1"/>
    <col min="13589" max="13589" width="0" style="168" hidden="1" customWidth="1"/>
    <col min="13590" max="13590" width="7.42578125" style="168" customWidth="1"/>
    <col min="13591" max="13591" width="19.28515625" style="168" customWidth="1"/>
    <col min="13592" max="13824" width="9.140625" style="168"/>
    <col min="13825" max="13825" width="4.7109375" style="168" customWidth="1"/>
    <col min="13826" max="13826" width="29.7109375" style="168" customWidth="1"/>
    <col min="13827" max="13827" width="0" style="168" hidden="1" customWidth="1"/>
    <col min="13828" max="13828" width="6.5703125" style="168" customWidth="1"/>
    <col min="13829" max="13829" width="7.85546875" style="168" customWidth="1"/>
    <col min="13830" max="13831" width="0" style="168" hidden="1" customWidth="1"/>
    <col min="13832" max="13833" width="7.85546875" style="168" customWidth="1"/>
    <col min="13834" max="13834" width="0" style="168" hidden="1" customWidth="1"/>
    <col min="13835" max="13835" width="6.85546875" style="168" customWidth="1"/>
    <col min="13836" max="13836" width="7.85546875" style="168" customWidth="1"/>
    <col min="13837" max="13838" width="0" style="168" hidden="1" customWidth="1"/>
    <col min="13839" max="13840" width="7.85546875" style="168" customWidth="1"/>
    <col min="13841" max="13841" width="7.42578125" style="168" customWidth="1"/>
    <col min="13842" max="13842" width="0" style="168" hidden="1" customWidth="1"/>
    <col min="13843" max="13844" width="7.42578125" style="168" customWidth="1"/>
    <col min="13845" max="13845" width="0" style="168" hidden="1" customWidth="1"/>
    <col min="13846" max="13846" width="7.42578125" style="168" customWidth="1"/>
    <col min="13847" max="13847" width="19.28515625" style="168" customWidth="1"/>
    <col min="13848" max="14080" width="9.140625" style="168"/>
    <col min="14081" max="14081" width="4.7109375" style="168" customWidth="1"/>
    <col min="14082" max="14082" width="29.7109375" style="168" customWidth="1"/>
    <col min="14083" max="14083" width="0" style="168" hidden="1" customWidth="1"/>
    <col min="14084" max="14084" width="6.5703125" style="168" customWidth="1"/>
    <col min="14085" max="14085" width="7.85546875" style="168" customWidth="1"/>
    <col min="14086" max="14087" width="0" style="168" hidden="1" customWidth="1"/>
    <col min="14088" max="14089" width="7.85546875" style="168" customWidth="1"/>
    <col min="14090" max="14090" width="0" style="168" hidden="1" customWidth="1"/>
    <col min="14091" max="14091" width="6.85546875" style="168" customWidth="1"/>
    <col min="14092" max="14092" width="7.85546875" style="168" customWidth="1"/>
    <col min="14093" max="14094" width="0" style="168" hidden="1" customWidth="1"/>
    <col min="14095" max="14096" width="7.85546875" style="168" customWidth="1"/>
    <col min="14097" max="14097" width="7.42578125" style="168" customWidth="1"/>
    <col min="14098" max="14098" width="0" style="168" hidden="1" customWidth="1"/>
    <col min="14099" max="14100" width="7.42578125" style="168" customWidth="1"/>
    <col min="14101" max="14101" width="0" style="168" hidden="1" customWidth="1"/>
    <col min="14102" max="14102" width="7.42578125" style="168" customWidth="1"/>
    <col min="14103" max="14103" width="19.28515625" style="168" customWidth="1"/>
    <col min="14104" max="14336" width="9.140625" style="168"/>
    <col min="14337" max="14337" width="4.7109375" style="168" customWidth="1"/>
    <col min="14338" max="14338" width="29.7109375" style="168" customWidth="1"/>
    <col min="14339" max="14339" width="0" style="168" hidden="1" customWidth="1"/>
    <col min="14340" max="14340" width="6.5703125" style="168" customWidth="1"/>
    <col min="14341" max="14341" width="7.85546875" style="168" customWidth="1"/>
    <col min="14342" max="14343" width="0" style="168" hidden="1" customWidth="1"/>
    <col min="14344" max="14345" width="7.85546875" style="168" customWidth="1"/>
    <col min="14346" max="14346" width="0" style="168" hidden="1" customWidth="1"/>
    <col min="14347" max="14347" width="6.85546875" style="168" customWidth="1"/>
    <col min="14348" max="14348" width="7.85546875" style="168" customWidth="1"/>
    <col min="14349" max="14350" width="0" style="168" hidden="1" customWidth="1"/>
    <col min="14351" max="14352" width="7.85546875" style="168" customWidth="1"/>
    <col min="14353" max="14353" width="7.42578125" style="168" customWidth="1"/>
    <col min="14354" max="14354" width="0" style="168" hidden="1" customWidth="1"/>
    <col min="14355" max="14356" width="7.42578125" style="168" customWidth="1"/>
    <col min="14357" max="14357" width="0" style="168" hidden="1" customWidth="1"/>
    <col min="14358" max="14358" width="7.42578125" style="168" customWidth="1"/>
    <col min="14359" max="14359" width="19.28515625" style="168" customWidth="1"/>
    <col min="14360" max="14592" width="9.140625" style="168"/>
    <col min="14593" max="14593" width="4.7109375" style="168" customWidth="1"/>
    <col min="14594" max="14594" width="29.7109375" style="168" customWidth="1"/>
    <col min="14595" max="14595" width="0" style="168" hidden="1" customWidth="1"/>
    <col min="14596" max="14596" width="6.5703125" style="168" customWidth="1"/>
    <col min="14597" max="14597" width="7.85546875" style="168" customWidth="1"/>
    <col min="14598" max="14599" width="0" style="168" hidden="1" customWidth="1"/>
    <col min="14600" max="14601" width="7.85546875" style="168" customWidth="1"/>
    <col min="14602" max="14602" width="0" style="168" hidden="1" customWidth="1"/>
    <col min="14603" max="14603" width="6.85546875" style="168" customWidth="1"/>
    <col min="14604" max="14604" width="7.85546875" style="168" customWidth="1"/>
    <col min="14605" max="14606" width="0" style="168" hidden="1" customWidth="1"/>
    <col min="14607" max="14608" width="7.85546875" style="168" customWidth="1"/>
    <col min="14609" max="14609" width="7.42578125" style="168" customWidth="1"/>
    <col min="14610" max="14610" width="0" style="168" hidden="1" customWidth="1"/>
    <col min="14611" max="14612" width="7.42578125" style="168" customWidth="1"/>
    <col min="14613" max="14613" width="0" style="168" hidden="1" customWidth="1"/>
    <col min="14614" max="14614" width="7.42578125" style="168" customWidth="1"/>
    <col min="14615" max="14615" width="19.28515625" style="168" customWidth="1"/>
    <col min="14616" max="14848" width="9.140625" style="168"/>
    <col min="14849" max="14849" width="4.7109375" style="168" customWidth="1"/>
    <col min="14850" max="14850" width="29.7109375" style="168" customWidth="1"/>
    <col min="14851" max="14851" width="0" style="168" hidden="1" customWidth="1"/>
    <col min="14852" max="14852" width="6.5703125" style="168" customWidth="1"/>
    <col min="14853" max="14853" width="7.85546875" style="168" customWidth="1"/>
    <col min="14854" max="14855" width="0" style="168" hidden="1" customWidth="1"/>
    <col min="14856" max="14857" width="7.85546875" style="168" customWidth="1"/>
    <col min="14858" max="14858" width="0" style="168" hidden="1" customWidth="1"/>
    <col min="14859" max="14859" width="6.85546875" style="168" customWidth="1"/>
    <col min="14860" max="14860" width="7.85546875" style="168" customWidth="1"/>
    <col min="14861" max="14862" width="0" style="168" hidden="1" customWidth="1"/>
    <col min="14863" max="14864" width="7.85546875" style="168" customWidth="1"/>
    <col min="14865" max="14865" width="7.42578125" style="168" customWidth="1"/>
    <col min="14866" max="14866" width="0" style="168" hidden="1" customWidth="1"/>
    <col min="14867" max="14868" width="7.42578125" style="168" customWidth="1"/>
    <col min="14869" max="14869" width="0" style="168" hidden="1" customWidth="1"/>
    <col min="14870" max="14870" width="7.42578125" style="168" customWidth="1"/>
    <col min="14871" max="14871" width="19.28515625" style="168" customWidth="1"/>
    <col min="14872" max="15104" width="9.140625" style="168"/>
    <col min="15105" max="15105" width="4.7109375" style="168" customWidth="1"/>
    <col min="15106" max="15106" width="29.7109375" style="168" customWidth="1"/>
    <col min="15107" max="15107" width="0" style="168" hidden="1" customWidth="1"/>
    <col min="15108" max="15108" width="6.5703125" style="168" customWidth="1"/>
    <col min="15109" max="15109" width="7.85546875" style="168" customWidth="1"/>
    <col min="15110" max="15111" width="0" style="168" hidden="1" customWidth="1"/>
    <col min="15112" max="15113" width="7.85546875" style="168" customWidth="1"/>
    <col min="15114" max="15114" width="0" style="168" hidden="1" customWidth="1"/>
    <col min="15115" max="15115" width="6.85546875" style="168" customWidth="1"/>
    <col min="15116" max="15116" width="7.85546875" style="168" customWidth="1"/>
    <col min="15117" max="15118" width="0" style="168" hidden="1" customWidth="1"/>
    <col min="15119" max="15120" width="7.85546875" style="168" customWidth="1"/>
    <col min="15121" max="15121" width="7.42578125" style="168" customWidth="1"/>
    <col min="15122" max="15122" width="0" style="168" hidden="1" customWidth="1"/>
    <col min="15123" max="15124" width="7.42578125" style="168" customWidth="1"/>
    <col min="15125" max="15125" width="0" style="168" hidden="1" customWidth="1"/>
    <col min="15126" max="15126" width="7.42578125" style="168" customWidth="1"/>
    <col min="15127" max="15127" width="19.28515625" style="168" customWidth="1"/>
    <col min="15128" max="15360" width="9.140625" style="168"/>
    <col min="15361" max="15361" width="4.7109375" style="168" customWidth="1"/>
    <col min="15362" max="15362" width="29.7109375" style="168" customWidth="1"/>
    <col min="15363" max="15363" width="0" style="168" hidden="1" customWidth="1"/>
    <col min="15364" max="15364" width="6.5703125" style="168" customWidth="1"/>
    <col min="15365" max="15365" width="7.85546875" style="168" customWidth="1"/>
    <col min="15366" max="15367" width="0" style="168" hidden="1" customWidth="1"/>
    <col min="15368" max="15369" width="7.85546875" style="168" customWidth="1"/>
    <col min="15370" max="15370" width="0" style="168" hidden="1" customWidth="1"/>
    <col min="15371" max="15371" width="6.85546875" style="168" customWidth="1"/>
    <col min="15372" max="15372" width="7.85546875" style="168" customWidth="1"/>
    <col min="15373" max="15374" width="0" style="168" hidden="1" customWidth="1"/>
    <col min="15375" max="15376" width="7.85546875" style="168" customWidth="1"/>
    <col min="15377" max="15377" width="7.42578125" style="168" customWidth="1"/>
    <col min="15378" max="15378" width="0" style="168" hidden="1" customWidth="1"/>
    <col min="15379" max="15380" width="7.42578125" style="168" customWidth="1"/>
    <col min="15381" max="15381" width="0" style="168" hidden="1" customWidth="1"/>
    <col min="15382" max="15382" width="7.42578125" style="168" customWidth="1"/>
    <col min="15383" max="15383" width="19.28515625" style="168" customWidth="1"/>
    <col min="15384" max="15616" width="9.140625" style="168"/>
    <col min="15617" max="15617" width="4.7109375" style="168" customWidth="1"/>
    <col min="15618" max="15618" width="29.7109375" style="168" customWidth="1"/>
    <col min="15619" max="15619" width="0" style="168" hidden="1" customWidth="1"/>
    <col min="15620" max="15620" width="6.5703125" style="168" customWidth="1"/>
    <col min="15621" max="15621" width="7.85546875" style="168" customWidth="1"/>
    <col min="15622" max="15623" width="0" style="168" hidden="1" customWidth="1"/>
    <col min="15624" max="15625" width="7.85546875" style="168" customWidth="1"/>
    <col min="15626" max="15626" width="0" style="168" hidden="1" customWidth="1"/>
    <col min="15627" max="15627" width="6.85546875" style="168" customWidth="1"/>
    <col min="15628" max="15628" width="7.85546875" style="168" customWidth="1"/>
    <col min="15629" max="15630" width="0" style="168" hidden="1" customWidth="1"/>
    <col min="15631" max="15632" width="7.85546875" style="168" customWidth="1"/>
    <col min="15633" max="15633" width="7.42578125" style="168" customWidth="1"/>
    <col min="15634" max="15634" width="0" style="168" hidden="1" customWidth="1"/>
    <col min="15635" max="15636" width="7.42578125" style="168" customWidth="1"/>
    <col min="15637" max="15637" width="0" style="168" hidden="1" customWidth="1"/>
    <col min="15638" max="15638" width="7.42578125" style="168" customWidth="1"/>
    <col min="15639" max="15639" width="19.28515625" style="168" customWidth="1"/>
    <col min="15640" max="15872" width="9.140625" style="168"/>
    <col min="15873" max="15873" width="4.7109375" style="168" customWidth="1"/>
    <col min="15874" max="15874" width="29.7109375" style="168" customWidth="1"/>
    <col min="15875" max="15875" width="0" style="168" hidden="1" customWidth="1"/>
    <col min="15876" max="15876" width="6.5703125" style="168" customWidth="1"/>
    <col min="15877" max="15877" width="7.85546875" style="168" customWidth="1"/>
    <col min="15878" max="15879" width="0" style="168" hidden="1" customWidth="1"/>
    <col min="15880" max="15881" width="7.85546875" style="168" customWidth="1"/>
    <col min="15882" max="15882" width="0" style="168" hidden="1" customWidth="1"/>
    <col min="15883" max="15883" width="6.85546875" style="168" customWidth="1"/>
    <col min="15884" max="15884" width="7.85546875" style="168" customWidth="1"/>
    <col min="15885" max="15886" width="0" style="168" hidden="1" customWidth="1"/>
    <col min="15887" max="15888" width="7.85546875" style="168" customWidth="1"/>
    <col min="15889" max="15889" width="7.42578125" style="168" customWidth="1"/>
    <col min="15890" max="15890" width="0" style="168" hidden="1" customWidth="1"/>
    <col min="15891" max="15892" width="7.42578125" style="168" customWidth="1"/>
    <col min="15893" max="15893" width="0" style="168" hidden="1" customWidth="1"/>
    <col min="15894" max="15894" width="7.42578125" style="168" customWidth="1"/>
    <col min="15895" max="15895" width="19.28515625" style="168" customWidth="1"/>
    <col min="15896" max="16128" width="9.140625" style="168"/>
    <col min="16129" max="16129" width="4.7109375" style="168" customWidth="1"/>
    <col min="16130" max="16130" width="29.7109375" style="168" customWidth="1"/>
    <col min="16131" max="16131" width="0" style="168" hidden="1" customWidth="1"/>
    <col min="16132" max="16132" width="6.5703125" style="168" customWidth="1"/>
    <col min="16133" max="16133" width="7.85546875" style="168" customWidth="1"/>
    <col min="16134" max="16135" width="0" style="168" hidden="1" customWidth="1"/>
    <col min="16136" max="16137" width="7.85546875" style="168" customWidth="1"/>
    <col min="16138" max="16138" width="0" style="168" hidden="1" customWidth="1"/>
    <col min="16139" max="16139" width="6.85546875" style="168" customWidth="1"/>
    <col min="16140" max="16140" width="7.85546875" style="168" customWidth="1"/>
    <col min="16141" max="16142" width="0" style="168" hidden="1" customWidth="1"/>
    <col min="16143" max="16144" width="7.85546875" style="168" customWidth="1"/>
    <col min="16145" max="16145" width="7.42578125" style="168" customWidth="1"/>
    <col min="16146" max="16146" width="0" style="168" hidden="1" customWidth="1"/>
    <col min="16147" max="16148" width="7.42578125" style="168" customWidth="1"/>
    <col min="16149" max="16149" width="0" style="168" hidden="1" customWidth="1"/>
    <col min="16150" max="16150" width="7.42578125" style="168" customWidth="1"/>
    <col min="16151" max="16151" width="19.28515625" style="168" customWidth="1"/>
    <col min="16152" max="16384" width="9.140625" style="168"/>
  </cols>
  <sheetData>
    <row r="1" spans="1:23" s="263" customFormat="1" ht="16.5" customHeight="1" x14ac:dyDescent="0.25">
      <c r="A1" s="3310" t="str">
        <f>_xlfn.SINGLE('68_T342'!A1)</f>
        <v xml:space="preserve">UBND PHƯỜNG BẮC KẠN </v>
      </c>
      <c r="B1" s="3310"/>
      <c r="C1" s="2848"/>
      <c r="D1" s="2848"/>
      <c r="E1" s="2848"/>
      <c r="F1" s="2848"/>
      <c r="G1" s="2848"/>
      <c r="H1" s="2848"/>
      <c r="I1" s="2848"/>
      <c r="J1" s="2848"/>
      <c r="K1" s="2848"/>
      <c r="L1" s="2848"/>
      <c r="M1" s="2848"/>
      <c r="N1" s="2848"/>
      <c r="O1" s="2848"/>
      <c r="P1" s="2852"/>
      <c r="Q1" s="2849"/>
      <c r="R1" s="2849"/>
      <c r="S1" s="2848"/>
      <c r="T1" s="2848"/>
      <c r="U1" s="2848"/>
      <c r="V1" s="3311" t="s">
        <v>2350</v>
      </c>
      <c r="W1" s="3311"/>
    </row>
    <row r="2" spans="1:23" s="119" customFormat="1" ht="19.5" customHeight="1" x14ac:dyDescent="0.2">
      <c r="A2" s="3311" t="s">
        <v>2244</v>
      </c>
      <c r="B2" s="3312"/>
      <c r="C2" s="3312"/>
      <c r="D2" s="3312"/>
      <c r="E2" s="3312"/>
      <c r="F2" s="3312"/>
      <c r="G2" s="3312"/>
      <c r="H2" s="3312"/>
      <c r="I2" s="3312"/>
      <c r="J2" s="3312"/>
      <c r="K2" s="3312"/>
      <c r="L2" s="3312"/>
      <c r="M2" s="3312"/>
      <c r="N2" s="3312"/>
      <c r="O2" s="3312"/>
      <c r="P2" s="3312"/>
      <c r="Q2" s="3312"/>
      <c r="R2" s="3312"/>
      <c r="S2" s="3312"/>
      <c r="T2" s="3312"/>
      <c r="U2" s="3312"/>
      <c r="V2" s="3312"/>
      <c r="W2" s="3312"/>
    </row>
    <row r="3" spans="1:23" s="263" customFormat="1" ht="19.5" customHeight="1" x14ac:dyDescent="0.25">
      <c r="A3" s="3313" t="str">
        <f>'69_TT342'!A3:I3</f>
        <v>(Kèm theo Quyết định số          /QĐ-UBND ngày          /4/2026 của UBND phường Bắc Kạn)</v>
      </c>
      <c r="B3" s="3313"/>
      <c r="C3" s="3313"/>
      <c r="D3" s="3313"/>
      <c r="E3" s="3313"/>
      <c r="F3" s="3313"/>
      <c r="G3" s="3313"/>
      <c r="H3" s="3313"/>
      <c r="I3" s="3313"/>
      <c r="J3" s="3313"/>
      <c r="K3" s="3313"/>
      <c r="L3" s="3313"/>
      <c r="M3" s="3313"/>
      <c r="N3" s="3313"/>
      <c r="O3" s="3313"/>
      <c r="P3" s="3313"/>
      <c r="Q3" s="3313"/>
      <c r="R3" s="3313"/>
      <c r="S3" s="3313"/>
      <c r="T3" s="3313"/>
      <c r="U3" s="3313"/>
      <c r="V3" s="3313"/>
      <c r="W3" s="3313"/>
    </row>
    <row r="4" spans="1:23" s="119" customFormat="1" ht="20.25" customHeight="1" x14ac:dyDescent="0.2">
      <c r="B4" s="3090">
        <f>O9+P9</f>
        <v>36659241.706600003</v>
      </c>
      <c r="C4" s="2850"/>
      <c r="D4" s="2850"/>
      <c r="E4" s="2850"/>
      <c r="F4" s="2850"/>
      <c r="G4" s="2850"/>
      <c r="H4" s="2850"/>
      <c r="I4" s="2850"/>
      <c r="J4" s="2850"/>
      <c r="K4" s="2850"/>
      <c r="L4" s="2850"/>
      <c r="M4" s="2850"/>
      <c r="N4" s="2850"/>
      <c r="O4" s="2850"/>
      <c r="P4" s="2853"/>
      <c r="Q4" s="2850"/>
      <c r="R4" s="2850"/>
      <c r="S4" s="2850"/>
      <c r="T4" s="2850"/>
      <c r="U4" s="2850"/>
      <c r="V4" s="3313" t="s">
        <v>982</v>
      </c>
      <c r="W4" s="3314"/>
    </row>
    <row r="5" spans="1:23" s="804" customFormat="1" ht="33.75" customHeight="1" x14ac:dyDescent="0.25">
      <c r="A5" s="3307" t="s">
        <v>0</v>
      </c>
      <c r="B5" s="3307" t="s">
        <v>1</v>
      </c>
      <c r="C5" s="3317" t="s">
        <v>754</v>
      </c>
      <c r="D5" s="3318"/>
      <c r="E5" s="3318"/>
      <c r="F5" s="3318"/>
      <c r="G5" s="3318"/>
      <c r="H5" s="3318"/>
      <c r="I5" s="3319"/>
      <c r="J5" s="3320" t="s">
        <v>1048</v>
      </c>
      <c r="K5" s="3321"/>
      <c r="L5" s="3321"/>
      <c r="M5" s="3321"/>
      <c r="N5" s="3321"/>
      <c r="O5" s="3321"/>
      <c r="P5" s="3322"/>
      <c r="Q5" s="3316" t="s">
        <v>1049</v>
      </c>
      <c r="R5" s="3316"/>
      <c r="S5" s="3316"/>
      <c r="T5" s="3316"/>
      <c r="U5" s="3316"/>
      <c r="V5" s="3316"/>
      <c r="W5" s="3307" t="s">
        <v>1050</v>
      </c>
    </row>
    <row r="6" spans="1:23" s="804" customFormat="1" ht="33.75" customHeight="1" x14ac:dyDescent="0.25">
      <c r="A6" s="3308"/>
      <c r="B6" s="3308"/>
      <c r="C6" s="3307" t="s">
        <v>13</v>
      </c>
      <c r="D6" s="3316" t="s">
        <v>1051</v>
      </c>
      <c r="E6" s="3316"/>
      <c r="F6" s="3316" t="s">
        <v>687</v>
      </c>
      <c r="G6" s="3316"/>
      <c r="H6" s="3316" t="s">
        <v>688</v>
      </c>
      <c r="I6" s="3316"/>
      <c r="J6" s="3307" t="s">
        <v>13</v>
      </c>
      <c r="K6" s="3316" t="s">
        <v>1051</v>
      </c>
      <c r="L6" s="3316"/>
      <c r="M6" s="3316" t="s">
        <v>687</v>
      </c>
      <c r="N6" s="3316"/>
      <c r="O6" s="3316" t="s">
        <v>688</v>
      </c>
      <c r="P6" s="3316"/>
      <c r="Q6" s="1592"/>
      <c r="R6" s="3072"/>
      <c r="S6" s="3073" t="s">
        <v>174</v>
      </c>
      <c r="T6" s="2388"/>
      <c r="U6" s="3074"/>
      <c r="V6" s="3073" t="s">
        <v>175</v>
      </c>
      <c r="W6" s="3308"/>
    </row>
    <row r="7" spans="1:23" s="804" customFormat="1" ht="42.75" x14ac:dyDescent="0.25">
      <c r="A7" s="3309"/>
      <c r="B7" s="3309"/>
      <c r="C7" s="3309"/>
      <c r="D7" s="3075" t="s">
        <v>1052</v>
      </c>
      <c r="E7" s="3075" t="s">
        <v>28</v>
      </c>
      <c r="F7" s="3075" t="s">
        <v>1052</v>
      </c>
      <c r="G7" s="3075" t="s">
        <v>28</v>
      </c>
      <c r="H7" s="3075" t="s">
        <v>1052</v>
      </c>
      <c r="I7" s="3075" t="s">
        <v>28</v>
      </c>
      <c r="J7" s="3309"/>
      <c r="K7" s="3075" t="s">
        <v>1052</v>
      </c>
      <c r="L7" s="3075" t="s">
        <v>28</v>
      </c>
      <c r="M7" s="3075" t="s">
        <v>1052</v>
      </c>
      <c r="N7" s="3075" t="s">
        <v>28</v>
      </c>
      <c r="O7" s="3075" t="s">
        <v>1052</v>
      </c>
      <c r="P7" s="3076" t="s">
        <v>28</v>
      </c>
      <c r="Q7" s="3071" t="s">
        <v>1051</v>
      </c>
      <c r="R7" s="3071" t="s">
        <v>687</v>
      </c>
      <c r="S7" s="3071" t="s">
        <v>1053</v>
      </c>
      <c r="T7" s="3071" t="s">
        <v>1051</v>
      </c>
      <c r="U7" s="3071" t="s">
        <v>687</v>
      </c>
      <c r="V7" s="3071" t="s">
        <v>1053</v>
      </c>
      <c r="W7" s="3309"/>
    </row>
    <row r="8" spans="1:23" s="853" customFormat="1" ht="24" customHeight="1" x14ac:dyDescent="0.25">
      <c r="A8" s="3077" t="s">
        <v>3</v>
      </c>
      <c r="B8" s="3077" t="s">
        <v>4</v>
      </c>
      <c r="C8" s="3077"/>
      <c r="D8" s="3077"/>
      <c r="E8" s="3077"/>
      <c r="F8" s="3077"/>
      <c r="G8" s="3077"/>
      <c r="H8" s="3077"/>
      <c r="I8" s="3077"/>
      <c r="J8" s="3077"/>
      <c r="K8" s="3077">
        <v>1</v>
      </c>
      <c r="L8" s="3077">
        <v>2</v>
      </c>
      <c r="M8" s="3077">
        <v>3</v>
      </c>
      <c r="N8" s="3077">
        <v>4</v>
      </c>
      <c r="O8" s="3077">
        <v>5</v>
      </c>
      <c r="P8" s="3077">
        <v>6</v>
      </c>
      <c r="Q8" s="3077"/>
      <c r="R8" s="3077"/>
      <c r="S8" s="3077"/>
      <c r="T8" s="3077"/>
      <c r="U8" s="3077"/>
      <c r="V8" s="3077"/>
      <c r="W8" s="3077"/>
    </row>
    <row r="9" spans="1:23" s="802" customFormat="1" ht="24" customHeight="1" x14ac:dyDescent="0.25">
      <c r="A9" s="3071"/>
      <c r="B9" s="3071" t="s">
        <v>511</v>
      </c>
      <c r="C9" s="3071"/>
      <c r="D9" s="3071"/>
      <c r="E9" s="3071"/>
      <c r="F9" s="3071"/>
      <c r="G9" s="3071"/>
      <c r="H9" s="3071"/>
      <c r="I9" s="3071"/>
      <c r="J9" s="3071"/>
      <c r="K9" s="3071"/>
      <c r="L9" s="3071"/>
      <c r="M9" s="3071"/>
      <c r="N9" s="3071"/>
      <c r="O9" s="3076">
        <f>SUM(O10,O19,O24,O28,O31,O69,O72,O79)</f>
        <v>2000000</v>
      </c>
      <c r="P9" s="3076">
        <f>SUM(P10,P19,P24,P28,P31,P69,P72,P79)</f>
        <v>34659241.706600003</v>
      </c>
      <c r="Q9" s="3071"/>
      <c r="R9" s="3071"/>
      <c r="S9" s="3071"/>
      <c r="T9" s="3071"/>
      <c r="U9" s="3071"/>
      <c r="V9" s="3071"/>
      <c r="W9" s="3071"/>
    </row>
    <row r="10" spans="1:23" s="2851" customFormat="1" ht="132" customHeight="1" x14ac:dyDescent="0.25">
      <c r="A10" s="3071">
        <v>1</v>
      </c>
      <c r="B10" s="3078" t="s">
        <v>1054</v>
      </c>
      <c r="C10" s="3078"/>
      <c r="D10" s="3078"/>
      <c r="E10" s="3078"/>
      <c r="F10" s="3078"/>
      <c r="G10" s="3071"/>
      <c r="H10" s="3071"/>
      <c r="I10" s="3071"/>
      <c r="J10" s="3071"/>
      <c r="K10" s="3075"/>
      <c r="L10" s="3075"/>
      <c r="M10" s="3075"/>
      <c r="N10" s="3075"/>
      <c r="O10" s="3076">
        <f>O12</f>
        <v>2000000</v>
      </c>
      <c r="P10" s="3079"/>
      <c r="Q10" s="3075"/>
      <c r="R10" s="3075"/>
      <c r="S10" s="3075"/>
      <c r="T10" s="3075"/>
      <c r="U10" s="3075"/>
      <c r="V10" s="3075"/>
      <c r="W10" s="3071"/>
    </row>
    <row r="11" spans="1:23" s="1230" customFormat="1" ht="19.5" customHeight="1" x14ac:dyDescent="0.25">
      <c r="A11" s="3077"/>
      <c r="B11" s="3080" t="s">
        <v>49</v>
      </c>
      <c r="C11" s="3080"/>
      <c r="D11" s="3080"/>
      <c r="E11" s="3080"/>
      <c r="F11" s="3080"/>
      <c r="G11" s="3077"/>
      <c r="H11" s="3077"/>
      <c r="I11" s="3077"/>
      <c r="J11" s="3077"/>
      <c r="K11" s="3081"/>
      <c r="L11" s="3081"/>
      <c r="M11" s="3081"/>
      <c r="N11" s="3081"/>
      <c r="O11" s="3082"/>
      <c r="P11" s="3083"/>
      <c r="Q11" s="3081"/>
      <c r="R11" s="3081"/>
      <c r="S11" s="3081"/>
      <c r="T11" s="3081"/>
      <c r="U11" s="3081"/>
      <c r="V11" s="3081"/>
      <c r="W11" s="3077"/>
    </row>
    <row r="12" spans="1:23" s="1230" customFormat="1" ht="36.75" customHeight="1" x14ac:dyDescent="0.25">
      <c r="A12" s="3077" t="s">
        <v>7</v>
      </c>
      <c r="B12" s="3080" t="s">
        <v>1055</v>
      </c>
      <c r="C12" s="3080"/>
      <c r="D12" s="3080"/>
      <c r="E12" s="3080"/>
      <c r="F12" s="3080"/>
      <c r="G12" s="3077"/>
      <c r="H12" s="3077"/>
      <c r="I12" s="3077"/>
      <c r="J12" s="3077"/>
      <c r="K12" s="3081"/>
      <c r="L12" s="3081"/>
      <c r="M12" s="3081"/>
      <c r="N12" s="3081"/>
      <c r="O12" s="3082">
        <f>O13</f>
        <v>2000000</v>
      </c>
      <c r="P12" s="3083"/>
      <c r="Q12" s="3081"/>
      <c r="R12" s="3081"/>
      <c r="S12" s="3081"/>
      <c r="T12" s="3081"/>
      <c r="U12" s="3081"/>
      <c r="V12" s="3081"/>
      <c r="W12" s="3077"/>
    </row>
    <row r="13" spans="1:23" s="1230" customFormat="1" ht="36.75" customHeight="1" x14ac:dyDescent="0.25">
      <c r="A13" s="3077"/>
      <c r="B13" s="3080" t="s">
        <v>2247</v>
      </c>
      <c r="C13" s="3080"/>
      <c r="D13" s="3080"/>
      <c r="E13" s="3080"/>
      <c r="F13" s="3080"/>
      <c r="G13" s="3077"/>
      <c r="H13" s="3077"/>
      <c r="I13" s="3077"/>
      <c r="J13" s="3077"/>
      <c r="K13" s="3081"/>
      <c r="L13" s="3081"/>
      <c r="M13" s="3081"/>
      <c r="N13" s="3081"/>
      <c r="O13" s="3082">
        <v>2000000</v>
      </c>
      <c r="P13" s="3083"/>
      <c r="Q13" s="3081"/>
      <c r="R13" s="3081"/>
      <c r="S13" s="3081"/>
      <c r="T13" s="3081"/>
      <c r="U13" s="3081"/>
      <c r="V13" s="3081"/>
      <c r="W13" s="3077"/>
    </row>
    <row r="14" spans="1:23" s="1230" customFormat="1" ht="15" hidden="1" x14ac:dyDescent="0.25">
      <c r="A14" s="3077"/>
      <c r="B14" s="3080" t="s">
        <v>1057</v>
      </c>
      <c r="C14" s="3080"/>
      <c r="D14" s="3080"/>
      <c r="E14" s="3080"/>
      <c r="F14" s="3080"/>
      <c r="G14" s="3077"/>
      <c r="H14" s="3077"/>
      <c r="I14" s="3077"/>
      <c r="J14" s="3077"/>
      <c r="K14" s="3081"/>
      <c r="L14" s="3081"/>
      <c r="M14" s="3081"/>
      <c r="N14" s="3081"/>
      <c r="O14" s="3081"/>
      <c r="P14" s="3083"/>
      <c r="Q14" s="3081"/>
      <c r="R14" s="3081"/>
      <c r="S14" s="3081"/>
      <c r="T14" s="3081"/>
      <c r="U14" s="3081"/>
      <c r="V14" s="3081"/>
      <c r="W14" s="3077"/>
    </row>
    <row r="15" spans="1:23" s="1230" customFormat="1" ht="60" hidden="1" x14ac:dyDescent="0.25">
      <c r="A15" s="3077" t="s">
        <v>38</v>
      </c>
      <c r="B15" s="3080" t="s">
        <v>1058</v>
      </c>
      <c r="C15" s="3080"/>
      <c r="D15" s="3080"/>
      <c r="E15" s="3080"/>
      <c r="F15" s="3080"/>
      <c r="G15" s="3077"/>
      <c r="H15" s="3077"/>
      <c r="I15" s="3077"/>
      <c r="J15" s="3077"/>
      <c r="K15" s="3081"/>
      <c r="L15" s="3081"/>
      <c r="M15" s="3081"/>
      <c r="N15" s="3081"/>
      <c r="O15" s="3081"/>
      <c r="P15" s="3083"/>
      <c r="Q15" s="3081"/>
      <c r="R15" s="3081"/>
      <c r="S15" s="3081"/>
      <c r="T15" s="3081"/>
      <c r="U15" s="3081"/>
      <c r="V15" s="3081"/>
      <c r="W15" s="3077"/>
    </row>
    <row r="16" spans="1:23" s="1230" customFormat="1" ht="15" hidden="1" x14ac:dyDescent="0.25">
      <c r="A16" s="3077"/>
      <c r="B16" s="3080" t="s">
        <v>1056</v>
      </c>
      <c r="C16" s="3080"/>
      <c r="D16" s="3080"/>
      <c r="E16" s="3080"/>
      <c r="F16" s="3080"/>
      <c r="G16" s="3077"/>
      <c r="H16" s="3077"/>
      <c r="I16" s="3077"/>
      <c r="J16" s="3077"/>
      <c r="K16" s="3081"/>
      <c r="L16" s="3081"/>
      <c r="M16" s="3081"/>
      <c r="N16" s="3081"/>
      <c r="O16" s="3081"/>
      <c r="P16" s="3083"/>
      <c r="Q16" s="3081"/>
      <c r="R16" s="3081"/>
      <c r="S16" s="3081"/>
      <c r="T16" s="3081"/>
      <c r="U16" s="3081"/>
      <c r="V16" s="3081"/>
      <c r="W16" s="3077"/>
    </row>
    <row r="17" spans="1:23" s="1230" customFormat="1" ht="15" hidden="1" x14ac:dyDescent="0.25">
      <c r="A17" s="3077"/>
      <c r="B17" s="3080" t="s">
        <v>1056</v>
      </c>
      <c r="C17" s="3080"/>
      <c r="D17" s="3080"/>
      <c r="E17" s="3080"/>
      <c r="F17" s="3080"/>
      <c r="G17" s="3077"/>
      <c r="H17" s="3077"/>
      <c r="I17" s="3077"/>
      <c r="J17" s="3077"/>
      <c r="K17" s="3081"/>
      <c r="L17" s="3081"/>
      <c r="M17" s="3081"/>
      <c r="N17" s="3081"/>
      <c r="O17" s="3081"/>
      <c r="P17" s="3083"/>
      <c r="Q17" s="3081"/>
      <c r="R17" s="3081"/>
      <c r="S17" s="3081"/>
      <c r="T17" s="3081"/>
      <c r="U17" s="3081"/>
      <c r="V17" s="3081"/>
      <c r="W17" s="3077"/>
    </row>
    <row r="18" spans="1:23" s="1230" customFormat="1" ht="15" hidden="1" x14ac:dyDescent="0.25">
      <c r="A18" s="3077"/>
      <c r="B18" s="3080" t="s">
        <v>1057</v>
      </c>
      <c r="C18" s="3080"/>
      <c r="D18" s="3080"/>
      <c r="E18" s="3080"/>
      <c r="F18" s="3080"/>
      <c r="G18" s="3077"/>
      <c r="H18" s="3077"/>
      <c r="I18" s="3077"/>
      <c r="J18" s="3077"/>
      <c r="K18" s="3081"/>
      <c r="L18" s="3081"/>
      <c r="M18" s="3081"/>
      <c r="N18" s="3081"/>
      <c r="O18" s="3081"/>
      <c r="P18" s="3083"/>
      <c r="Q18" s="3081"/>
      <c r="R18" s="3081"/>
      <c r="S18" s="3081"/>
      <c r="T18" s="3081"/>
      <c r="U18" s="3081"/>
      <c r="V18" s="3081"/>
      <c r="W18" s="3077"/>
    </row>
    <row r="19" spans="1:23" s="2851" customFormat="1" ht="66.75" customHeight="1" x14ac:dyDescent="0.25">
      <c r="A19" s="3071">
        <v>2</v>
      </c>
      <c r="B19" s="3078" t="s">
        <v>1059</v>
      </c>
      <c r="C19" s="3078"/>
      <c r="D19" s="3078"/>
      <c r="E19" s="3078"/>
      <c r="F19" s="3078"/>
      <c r="G19" s="3071"/>
      <c r="H19" s="3071"/>
      <c r="I19" s="3071"/>
      <c r="J19" s="3071"/>
      <c r="K19" s="3075"/>
      <c r="L19" s="3075"/>
      <c r="M19" s="3075"/>
      <c r="N19" s="3075"/>
      <c r="O19" s="3075"/>
      <c r="P19" s="3079"/>
      <c r="Q19" s="3075"/>
      <c r="R19" s="3075"/>
      <c r="S19" s="3075"/>
      <c r="T19" s="3075"/>
      <c r="U19" s="3075"/>
      <c r="V19" s="3075"/>
      <c r="W19" s="3071"/>
    </row>
    <row r="20" spans="1:23" s="1230" customFormat="1" ht="15" hidden="1" x14ac:dyDescent="0.25">
      <c r="A20" s="3077"/>
      <c r="B20" s="3080" t="s">
        <v>49</v>
      </c>
      <c r="C20" s="3080"/>
      <c r="D20" s="3080"/>
      <c r="E20" s="3080"/>
      <c r="F20" s="3080"/>
      <c r="G20" s="3077"/>
      <c r="H20" s="3077"/>
      <c r="I20" s="3077"/>
      <c r="J20" s="3077"/>
      <c r="K20" s="3081"/>
      <c r="L20" s="3081"/>
      <c r="M20" s="3081"/>
      <c r="N20" s="3081"/>
      <c r="O20" s="3081"/>
      <c r="P20" s="3083"/>
      <c r="Q20" s="3081"/>
      <c r="R20" s="3081"/>
      <c r="S20" s="3081"/>
      <c r="T20" s="3081"/>
      <c r="U20" s="3081"/>
      <c r="V20" s="3081"/>
      <c r="W20" s="3077"/>
    </row>
    <row r="21" spans="1:23" s="1230" customFormat="1" ht="15" hidden="1" x14ac:dyDescent="0.25">
      <c r="A21" s="3077"/>
      <c r="B21" s="3080" t="s">
        <v>1060</v>
      </c>
      <c r="C21" s="3080"/>
      <c r="D21" s="3080"/>
      <c r="E21" s="3080"/>
      <c r="F21" s="3080"/>
      <c r="G21" s="3077"/>
      <c r="H21" s="3077"/>
      <c r="I21" s="3077"/>
      <c r="J21" s="3077"/>
      <c r="K21" s="3081"/>
      <c r="L21" s="3081"/>
      <c r="M21" s="3081"/>
      <c r="N21" s="3081"/>
      <c r="O21" s="3081"/>
      <c r="P21" s="3083"/>
      <c r="Q21" s="3081"/>
      <c r="R21" s="3081"/>
      <c r="S21" s="3081"/>
      <c r="T21" s="3081"/>
      <c r="U21" s="3081"/>
      <c r="V21" s="3081"/>
      <c r="W21" s="3077"/>
    </row>
    <row r="22" spans="1:23" s="1230" customFormat="1" ht="15" hidden="1" x14ac:dyDescent="0.25">
      <c r="A22" s="3077"/>
      <c r="B22" s="3080" t="s">
        <v>1061</v>
      </c>
      <c r="C22" s="3080"/>
      <c r="D22" s="3080"/>
      <c r="E22" s="3080"/>
      <c r="F22" s="3080"/>
      <c r="G22" s="3077"/>
      <c r="H22" s="3077"/>
      <c r="I22" s="3077"/>
      <c r="J22" s="3077"/>
      <c r="K22" s="3081"/>
      <c r="L22" s="3081"/>
      <c r="M22" s="3081"/>
      <c r="N22" s="3081"/>
      <c r="O22" s="3081"/>
      <c r="P22" s="3083"/>
      <c r="Q22" s="3081"/>
      <c r="R22" s="3081"/>
      <c r="S22" s="3081"/>
      <c r="T22" s="3081"/>
      <c r="U22" s="3081"/>
      <c r="V22" s="3081"/>
      <c r="W22" s="3077"/>
    </row>
    <row r="23" spans="1:23" s="1230" customFormat="1" ht="15" hidden="1" x14ac:dyDescent="0.25">
      <c r="A23" s="3077"/>
      <c r="B23" s="3080" t="s">
        <v>1062</v>
      </c>
      <c r="C23" s="3080"/>
      <c r="D23" s="3080"/>
      <c r="E23" s="3080"/>
      <c r="F23" s="3080"/>
      <c r="G23" s="3077"/>
      <c r="H23" s="3077"/>
      <c r="I23" s="3077"/>
      <c r="J23" s="3077"/>
      <c r="K23" s="3081"/>
      <c r="L23" s="3081"/>
      <c r="M23" s="3081"/>
      <c r="N23" s="3081"/>
      <c r="O23" s="3081"/>
      <c r="P23" s="3083"/>
      <c r="Q23" s="3081"/>
      <c r="R23" s="3081"/>
      <c r="S23" s="3081"/>
      <c r="T23" s="3081"/>
      <c r="U23" s="3081"/>
      <c r="V23" s="3081"/>
      <c r="W23" s="3077"/>
    </row>
    <row r="24" spans="1:23" s="2851" customFormat="1" ht="65.25" customHeight="1" x14ac:dyDescent="0.25">
      <c r="A24" s="3071">
        <v>3</v>
      </c>
      <c r="B24" s="3078" t="s">
        <v>1063</v>
      </c>
      <c r="C24" s="3078"/>
      <c r="D24" s="3078"/>
      <c r="E24" s="3078"/>
      <c r="F24" s="3078"/>
      <c r="G24" s="3071"/>
      <c r="H24" s="3071"/>
      <c r="I24" s="3071"/>
      <c r="J24" s="3071"/>
      <c r="K24" s="3075"/>
      <c r="L24" s="3075"/>
      <c r="M24" s="3075"/>
      <c r="N24" s="3075"/>
      <c r="O24" s="3075"/>
      <c r="P24" s="3079">
        <f>SUM(P26:P27)</f>
        <v>3408864.648</v>
      </c>
      <c r="Q24" s="3075"/>
      <c r="R24" s="3075"/>
      <c r="S24" s="3075"/>
      <c r="T24" s="3075"/>
      <c r="U24" s="3075"/>
      <c r="V24" s="3075"/>
      <c r="W24" s="3071"/>
    </row>
    <row r="25" spans="1:23" s="1230" customFormat="1" ht="19.5" customHeight="1" x14ac:dyDescent="0.25">
      <c r="A25" s="3077"/>
      <c r="B25" s="3080" t="s">
        <v>49</v>
      </c>
      <c r="C25" s="3080"/>
      <c r="D25" s="3080"/>
      <c r="E25" s="3080"/>
      <c r="F25" s="3080"/>
      <c r="G25" s="3077"/>
      <c r="H25" s="3077"/>
      <c r="I25" s="3077"/>
      <c r="J25" s="3077"/>
      <c r="K25" s="3081"/>
      <c r="L25" s="3081"/>
      <c r="M25" s="3081"/>
      <c r="N25" s="3081"/>
      <c r="O25" s="3081"/>
      <c r="P25" s="3083"/>
      <c r="Q25" s="3081"/>
      <c r="R25" s="3081"/>
      <c r="S25" s="3081"/>
      <c r="T25" s="3081"/>
      <c r="U25" s="3081"/>
      <c r="V25" s="3081"/>
      <c r="W25" s="3077"/>
    </row>
    <row r="26" spans="1:23" s="1230" customFormat="1" ht="33" customHeight="1" x14ac:dyDescent="0.25">
      <c r="A26" s="3077"/>
      <c r="B26" s="3080" t="s">
        <v>2283</v>
      </c>
      <c r="C26" s="3080"/>
      <c r="D26" s="3080"/>
      <c r="E26" s="3080"/>
      <c r="F26" s="3080"/>
      <c r="G26" s="3077"/>
      <c r="H26" s="3077"/>
      <c r="I26" s="3077"/>
      <c r="J26" s="3077"/>
      <c r="K26" s="3081"/>
      <c r="L26" s="3081"/>
      <c r="M26" s="3081"/>
      <c r="N26" s="3081"/>
      <c r="O26" s="3081"/>
      <c r="P26" s="3083">
        <v>1236586.0349999999</v>
      </c>
      <c r="Q26" s="3081"/>
      <c r="R26" s="3081"/>
      <c r="S26" s="3081"/>
      <c r="T26" s="3081"/>
      <c r="U26" s="3081"/>
      <c r="V26" s="3081"/>
      <c r="W26" s="3077"/>
    </row>
    <row r="27" spans="1:23" s="1230" customFormat="1" ht="33" customHeight="1" x14ac:dyDescent="0.25">
      <c r="A27" s="3077"/>
      <c r="B27" s="3080" t="s">
        <v>2284</v>
      </c>
      <c r="C27" s="3080"/>
      <c r="D27" s="3080"/>
      <c r="E27" s="3080"/>
      <c r="F27" s="3080"/>
      <c r="G27" s="3077"/>
      <c r="H27" s="3077"/>
      <c r="I27" s="3077"/>
      <c r="J27" s="3077"/>
      <c r="K27" s="3081"/>
      <c r="L27" s="3081"/>
      <c r="M27" s="3081"/>
      <c r="N27" s="3081"/>
      <c r="O27" s="3081"/>
      <c r="P27" s="3083">
        <v>2172278.6129999999</v>
      </c>
      <c r="Q27" s="3081"/>
      <c r="R27" s="3081"/>
      <c r="S27" s="3081"/>
      <c r="T27" s="3081"/>
      <c r="U27" s="3081"/>
      <c r="V27" s="3081"/>
      <c r="W27" s="3077"/>
    </row>
    <row r="28" spans="1:23" s="2851" customFormat="1" ht="83.25" customHeight="1" x14ac:dyDescent="0.25">
      <c r="A28" s="3071">
        <v>4</v>
      </c>
      <c r="B28" s="3078" t="s">
        <v>1064</v>
      </c>
      <c r="C28" s="3078"/>
      <c r="D28" s="3078"/>
      <c r="E28" s="3078"/>
      <c r="F28" s="3078"/>
      <c r="G28" s="3071"/>
      <c r="H28" s="3071"/>
      <c r="I28" s="3071"/>
      <c r="J28" s="3071"/>
      <c r="K28" s="3075"/>
      <c r="L28" s="3075"/>
      <c r="M28" s="3075"/>
      <c r="N28" s="3075"/>
      <c r="O28" s="3075"/>
      <c r="P28" s="3079">
        <f>P30</f>
        <v>3600</v>
      </c>
      <c r="Q28" s="3075"/>
      <c r="R28" s="3075"/>
      <c r="S28" s="3075"/>
      <c r="T28" s="3075"/>
      <c r="U28" s="3075"/>
      <c r="V28" s="3075"/>
      <c r="W28" s="3071"/>
    </row>
    <row r="29" spans="1:23" s="1230" customFormat="1" ht="19.5" customHeight="1" x14ac:dyDescent="0.25">
      <c r="A29" s="3077"/>
      <c r="B29" s="3080" t="s">
        <v>49</v>
      </c>
      <c r="C29" s="3080"/>
      <c r="D29" s="3080"/>
      <c r="E29" s="3080"/>
      <c r="F29" s="3080"/>
      <c r="G29" s="3077"/>
      <c r="H29" s="3077"/>
      <c r="I29" s="3077"/>
      <c r="J29" s="3077"/>
      <c r="K29" s="3081"/>
      <c r="L29" s="3081"/>
      <c r="M29" s="3081"/>
      <c r="N29" s="3081"/>
      <c r="O29" s="3081"/>
      <c r="P29" s="3083"/>
      <c r="Q29" s="3081"/>
      <c r="R29" s="3081"/>
      <c r="S29" s="3081"/>
      <c r="T29" s="3081"/>
      <c r="U29" s="3081"/>
      <c r="V29" s="3081"/>
      <c r="W29" s="3077"/>
    </row>
    <row r="30" spans="1:23" s="1230" customFormat="1" ht="19.5" customHeight="1" x14ac:dyDescent="0.25">
      <c r="A30" s="3077"/>
      <c r="B30" s="3084" t="s">
        <v>954</v>
      </c>
      <c r="C30" s="3080"/>
      <c r="D30" s="3080"/>
      <c r="E30" s="3080"/>
      <c r="F30" s="3080"/>
      <c r="G30" s="3077"/>
      <c r="H30" s="3077"/>
      <c r="I30" s="3077"/>
      <c r="J30" s="3077"/>
      <c r="K30" s="3081"/>
      <c r="L30" s="3081"/>
      <c r="M30" s="3081"/>
      <c r="N30" s="3081"/>
      <c r="O30" s="3081"/>
      <c r="P30" s="3083">
        <v>3600</v>
      </c>
      <c r="Q30" s="3081"/>
      <c r="R30" s="3081"/>
      <c r="S30" s="3081"/>
      <c r="T30" s="3081"/>
      <c r="U30" s="3081"/>
      <c r="V30" s="3081"/>
      <c r="W30" s="3077"/>
    </row>
    <row r="31" spans="1:23" s="2851" customFormat="1" ht="99.75" x14ac:dyDescent="0.25">
      <c r="A31" s="3071">
        <v>5</v>
      </c>
      <c r="B31" s="3078" t="s">
        <v>1065</v>
      </c>
      <c r="C31" s="3078"/>
      <c r="D31" s="3078"/>
      <c r="E31" s="3078"/>
      <c r="F31" s="3078"/>
      <c r="G31" s="3071"/>
      <c r="H31" s="3071"/>
      <c r="I31" s="3071"/>
      <c r="J31" s="3071"/>
      <c r="K31" s="3075"/>
      <c r="L31" s="3075"/>
      <c r="M31" s="3075"/>
      <c r="N31" s="3075"/>
      <c r="O31" s="3075"/>
      <c r="P31" s="3079">
        <f>SUM(P33,P54,P65)</f>
        <v>11169883.995000001</v>
      </c>
      <c r="Q31" s="3075"/>
      <c r="R31" s="3075"/>
      <c r="S31" s="3075"/>
      <c r="T31" s="3075"/>
      <c r="U31" s="3075"/>
      <c r="V31" s="3075"/>
      <c r="W31" s="3071"/>
    </row>
    <row r="32" spans="1:23" s="2851" customFormat="1" ht="19.5" customHeight="1" x14ac:dyDescent="0.25">
      <c r="A32" s="3071"/>
      <c r="B32" s="3078" t="s">
        <v>49</v>
      </c>
      <c r="C32" s="3078"/>
      <c r="D32" s="3078"/>
      <c r="E32" s="3078"/>
      <c r="F32" s="3078"/>
      <c r="G32" s="3071"/>
      <c r="H32" s="3071"/>
      <c r="I32" s="3071"/>
      <c r="J32" s="3071"/>
      <c r="K32" s="3075"/>
      <c r="L32" s="3075"/>
      <c r="M32" s="3075"/>
      <c r="N32" s="3075"/>
      <c r="O32" s="3075"/>
      <c r="P32" s="3079"/>
      <c r="Q32" s="3075"/>
      <c r="R32" s="3075"/>
      <c r="S32" s="3075"/>
      <c r="T32" s="3075"/>
      <c r="U32" s="3075"/>
      <c r="V32" s="3075"/>
      <c r="W32" s="3071"/>
    </row>
    <row r="33" spans="1:23" s="2851" customFormat="1" ht="19.5" customHeight="1" x14ac:dyDescent="0.25">
      <c r="A33" s="3071" t="s">
        <v>1011</v>
      </c>
      <c r="B33" s="3078" t="s">
        <v>2273</v>
      </c>
      <c r="C33" s="3078"/>
      <c r="D33" s="3078"/>
      <c r="E33" s="3078"/>
      <c r="F33" s="3078"/>
      <c r="G33" s="3071"/>
      <c r="H33" s="3071"/>
      <c r="I33" s="3071"/>
      <c r="J33" s="3071"/>
      <c r="K33" s="3075"/>
      <c r="L33" s="3075"/>
      <c r="M33" s="3075"/>
      <c r="N33" s="3075"/>
      <c r="O33" s="3075"/>
      <c r="P33" s="3079">
        <f>SUM(P34,P38,P41,P44,P46,P48,P50,P52)</f>
        <v>149356.96</v>
      </c>
      <c r="Q33" s="3075"/>
      <c r="R33" s="3075"/>
      <c r="S33" s="3075"/>
      <c r="T33" s="3075"/>
      <c r="U33" s="3075"/>
      <c r="V33" s="3075"/>
      <c r="W33" s="3071"/>
    </row>
    <row r="34" spans="1:23" s="1230" customFormat="1" ht="19.5" customHeight="1" x14ac:dyDescent="0.25">
      <c r="A34" s="3077" t="s">
        <v>2274</v>
      </c>
      <c r="B34" s="3080" t="s">
        <v>1495</v>
      </c>
      <c r="C34" s="3080"/>
      <c r="D34" s="3080"/>
      <c r="E34" s="3080"/>
      <c r="F34" s="3080"/>
      <c r="G34" s="3077"/>
      <c r="H34" s="3077"/>
      <c r="I34" s="3077"/>
      <c r="J34" s="3077"/>
      <c r="K34" s="3081"/>
      <c r="L34" s="3081"/>
      <c r="M34" s="3081"/>
      <c r="N34" s="3081"/>
      <c r="O34" s="3081"/>
      <c r="P34" s="3083">
        <f>SUM(P35:P37)</f>
        <v>90830</v>
      </c>
      <c r="Q34" s="3081"/>
      <c r="R34" s="3081"/>
      <c r="S34" s="3081"/>
      <c r="T34" s="3081"/>
      <c r="U34" s="3081"/>
      <c r="V34" s="3081"/>
      <c r="W34" s="3077"/>
    </row>
    <row r="35" spans="1:23" s="1230" customFormat="1" ht="66" customHeight="1" x14ac:dyDescent="0.25">
      <c r="A35" s="3077"/>
      <c r="B35" s="3085" t="s">
        <v>2248</v>
      </c>
      <c r="C35" s="3080"/>
      <c r="D35" s="3080"/>
      <c r="E35" s="3080"/>
      <c r="F35" s="3080"/>
      <c r="G35" s="3077"/>
      <c r="H35" s="3077"/>
      <c r="I35" s="3077"/>
      <c r="J35" s="3077"/>
      <c r="K35" s="3081"/>
      <c r="L35" s="3081"/>
      <c r="M35" s="3081"/>
      <c r="N35" s="3081"/>
      <c r="O35" s="3081"/>
      <c r="P35" s="3083">
        <v>14480</v>
      </c>
      <c r="Q35" s="3081"/>
      <c r="R35" s="3081"/>
      <c r="S35" s="3081"/>
      <c r="T35" s="3081"/>
      <c r="U35" s="3081"/>
      <c r="V35" s="3081"/>
      <c r="W35" s="3077" t="s">
        <v>2250</v>
      </c>
    </row>
    <row r="36" spans="1:23" s="1230" customFormat="1" ht="65.25" customHeight="1" x14ac:dyDescent="0.25">
      <c r="A36" s="3077"/>
      <c r="B36" s="3085" t="s">
        <v>2248</v>
      </c>
      <c r="C36" s="3080"/>
      <c r="D36" s="3080"/>
      <c r="E36" s="3080"/>
      <c r="F36" s="3080"/>
      <c r="G36" s="3077"/>
      <c r="H36" s="3077"/>
      <c r="I36" s="3077"/>
      <c r="J36" s="3077"/>
      <c r="K36" s="3081"/>
      <c r="L36" s="3081"/>
      <c r="M36" s="3081"/>
      <c r="N36" s="3081"/>
      <c r="O36" s="3081"/>
      <c r="P36" s="3083">
        <v>59450</v>
      </c>
      <c r="Q36" s="3081"/>
      <c r="R36" s="3081"/>
      <c r="S36" s="3081"/>
      <c r="T36" s="3081"/>
      <c r="U36" s="3081"/>
      <c r="V36" s="3081"/>
      <c r="W36" s="3077" t="s">
        <v>2250</v>
      </c>
    </row>
    <row r="37" spans="1:23" s="1230" customFormat="1" ht="60" x14ac:dyDescent="0.25">
      <c r="A37" s="3077"/>
      <c r="B37" s="3085" t="s">
        <v>2249</v>
      </c>
      <c r="C37" s="3080"/>
      <c r="D37" s="3080"/>
      <c r="E37" s="3080"/>
      <c r="F37" s="3080"/>
      <c r="G37" s="3077"/>
      <c r="H37" s="3077"/>
      <c r="I37" s="3077"/>
      <c r="J37" s="3077"/>
      <c r="K37" s="3081"/>
      <c r="L37" s="3081"/>
      <c r="M37" s="3081"/>
      <c r="N37" s="3081"/>
      <c r="O37" s="3081"/>
      <c r="P37" s="3083">
        <v>16900</v>
      </c>
      <c r="Q37" s="3081"/>
      <c r="R37" s="3081"/>
      <c r="S37" s="3081"/>
      <c r="T37" s="3081"/>
      <c r="U37" s="3081"/>
      <c r="V37" s="3081"/>
      <c r="W37" s="3077" t="s">
        <v>2250</v>
      </c>
    </row>
    <row r="38" spans="1:23" s="1230" customFormat="1" ht="19.5" customHeight="1" x14ac:dyDescent="0.25">
      <c r="A38" s="3077" t="s">
        <v>2274</v>
      </c>
      <c r="B38" s="3085" t="s">
        <v>2265</v>
      </c>
      <c r="C38" s="3080"/>
      <c r="D38" s="3080"/>
      <c r="E38" s="3080"/>
      <c r="F38" s="3080"/>
      <c r="G38" s="3077"/>
      <c r="H38" s="3077"/>
      <c r="I38" s="3077"/>
      <c r="J38" s="3077"/>
      <c r="K38" s="3081"/>
      <c r="L38" s="3081"/>
      <c r="M38" s="3081"/>
      <c r="N38" s="3081"/>
      <c r="O38" s="3081"/>
      <c r="P38" s="3083">
        <f>P39+P40</f>
        <v>4413.2</v>
      </c>
      <c r="Q38" s="3081"/>
      <c r="R38" s="3081"/>
      <c r="S38" s="3081"/>
      <c r="T38" s="3081"/>
      <c r="U38" s="3081"/>
      <c r="V38" s="3081"/>
      <c r="W38" s="3077"/>
    </row>
    <row r="39" spans="1:23" s="1230" customFormat="1" ht="60" x14ac:dyDescent="0.25">
      <c r="A39" s="3077" t="s">
        <v>2275</v>
      </c>
      <c r="B39" s="3085" t="s">
        <v>2248</v>
      </c>
      <c r="C39" s="3080"/>
      <c r="D39" s="3080"/>
      <c r="E39" s="3080"/>
      <c r="F39" s="3080"/>
      <c r="G39" s="3077"/>
      <c r="H39" s="3077"/>
      <c r="I39" s="3077"/>
      <c r="J39" s="3077"/>
      <c r="K39" s="3081"/>
      <c r="L39" s="3081"/>
      <c r="M39" s="3081"/>
      <c r="N39" s="3081"/>
      <c r="O39" s="3081"/>
      <c r="P39" s="3083">
        <v>160</v>
      </c>
      <c r="Q39" s="3081"/>
      <c r="R39" s="3081"/>
      <c r="S39" s="3081"/>
      <c r="T39" s="3081"/>
      <c r="U39" s="3081"/>
      <c r="V39" s="3081"/>
      <c r="W39" s="3077" t="s">
        <v>2250</v>
      </c>
    </row>
    <row r="40" spans="1:23" s="1230" customFormat="1" ht="19.5" customHeight="1" x14ac:dyDescent="0.25">
      <c r="A40" s="3077"/>
      <c r="B40" s="3085" t="s">
        <v>2270</v>
      </c>
      <c r="C40" s="3080"/>
      <c r="D40" s="3080"/>
      <c r="E40" s="3080"/>
      <c r="F40" s="3080"/>
      <c r="G40" s="3077"/>
      <c r="H40" s="3077"/>
      <c r="I40" s="3077"/>
      <c r="J40" s="3077"/>
      <c r="K40" s="3081"/>
      <c r="L40" s="3081"/>
      <c r="M40" s="3081"/>
      <c r="N40" s="3081"/>
      <c r="O40" s="3081"/>
      <c r="P40" s="3083">
        <v>4253.2</v>
      </c>
      <c r="Q40" s="3081"/>
      <c r="R40" s="3081"/>
      <c r="S40" s="3081"/>
      <c r="T40" s="3081"/>
      <c r="U40" s="3081"/>
      <c r="V40" s="3081"/>
      <c r="W40" s="3077"/>
    </row>
    <row r="41" spans="1:23" s="1230" customFormat="1" ht="19.5" customHeight="1" x14ac:dyDescent="0.25">
      <c r="A41" s="3077" t="s">
        <v>2274</v>
      </c>
      <c r="B41" s="3085" t="s">
        <v>2266</v>
      </c>
      <c r="C41" s="3080"/>
      <c r="D41" s="3080"/>
      <c r="E41" s="3080"/>
      <c r="F41" s="3080"/>
      <c r="G41" s="3077"/>
      <c r="H41" s="3077"/>
      <c r="I41" s="3077"/>
      <c r="J41" s="3077"/>
      <c r="K41" s="3081"/>
      <c r="L41" s="3081"/>
      <c r="M41" s="3081"/>
      <c r="N41" s="3081"/>
      <c r="O41" s="3081"/>
      <c r="P41" s="3083">
        <f>P42+P43</f>
        <v>18862.2</v>
      </c>
      <c r="Q41" s="3081"/>
      <c r="R41" s="3081"/>
      <c r="S41" s="3081"/>
      <c r="T41" s="3081"/>
      <c r="U41" s="3081"/>
      <c r="V41" s="3081"/>
      <c r="W41" s="3077"/>
    </row>
    <row r="42" spans="1:23" s="1230" customFormat="1" ht="52.5" customHeight="1" x14ac:dyDescent="0.25">
      <c r="A42" s="3077"/>
      <c r="B42" s="3085" t="s">
        <v>2248</v>
      </c>
      <c r="C42" s="3080"/>
      <c r="D42" s="3080"/>
      <c r="E42" s="3080"/>
      <c r="F42" s="3080"/>
      <c r="G42" s="3077"/>
      <c r="H42" s="3077"/>
      <c r="I42" s="3077"/>
      <c r="J42" s="3077"/>
      <c r="K42" s="3081"/>
      <c r="L42" s="3081"/>
      <c r="M42" s="3081"/>
      <c r="N42" s="3081"/>
      <c r="O42" s="3081"/>
      <c r="P42" s="3083">
        <v>99</v>
      </c>
      <c r="Q42" s="3081"/>
      <c r="R42" s="3081"/>
      <c r="S42" s="3081"/>
      <c r="T42" s="3081"/>
      <c r="U42" s="3081"/>
      <c r="V42" s="3081"/>
      <c r="W42" s="3077" t="s">
        <v>2250</v>
      </c>
    </row>
    <row r="43" spans="1:23" s="1230" customFormat="1" ht="19.5" customHeight="1" x14ac:dyDescent="0.25">
      <c r="A43" s="3077"/>
      <c r="B43" s="3085" t="s">
        <v>2270</v>
      </c>
      <c r="C43" s="3080"/>
      <c r="D43" s="3080"/>
      <c r="E43" s="3080"/>
      <c r="F43" s="3080"/>
      <c r="G43" s="3077"/>
      <c r="H43" s="3077"/>
      <c r="I43" s="3077"/>
      <c r="J43" s="3077"/>
      <c r="K43" s="3081"/>
      <c r="L43" s="3081"/>
      <c r="M43" s="3081"/>
      <c r="N43" s="3081"/>
      <c r="O43" s="3081"/>
      <c r="P43" s="3083">
        <v>18763.2</v>
      </c>
      <c r="Q43" s="3081"/>
      <c r="R43" s="3081"/>
      <c r="S43" s="3081"/>
      <c r="T43" s="3081"/>
      <c r="U43" s="3081"/>
      <c r="V43" s="3081"/>
      <c r="W43" s="3077"/>
    </row>
    <row r="44" spans="1:23" s="1230" customFormat="1" ht="19.5" customHeight="1" x14ac:dyDescent="0.25">
      <c r="A44" s="3077" t="s">
        <v>2274</v>
      </c>
      <c r="B44" s="3085" t="s">
        <v>2268</v>
      </c>
      <c r="C44" s="3080"/>
      <c r="D44" s="3080"/>
      <c r="E44" s="3080"/>
      <c r="F44" s="3080"/>
      <c r="G44" s="3077"/>
      <c r="H44" s="3077"/>
      <c r="I44" s="3077"/>
      <c r="J44" s="3077"/>
      <c r="K44" s="3081"/>
      <c r="L44" s="3081"/>
      <c r="M44" s="3081"/>
      <c r="N44" s="3081"/>
      <c r="O44" s="3081"/>
      <c r="P44" s="3083">
        <f>P45</f>
        <v>21312</v>
      </c>
      <c r="Q44" s="3081"/>
      <c r="R44" s="3081"/>
      <c r="S44" s="3081"/>
      <c r="T44" s="3081"/>
      <c r="U44" s="3081"/>
      <c r="V44" s="3081"/>
      <c r="W44" s="3077"/>
    </row>
    <row r="45" spans="1:23" s="1230" customFormat="1" ht="19.5" customHeight="1" x14ac:dyDescent="0.25">
      <c r="A45" s="3077"/>
      <c r="B45" s="3085" t="s">
        <v>2270</v>
      </c>
      <c r="C45" s="3080"/>
      <c r="D45" s="3080"/>
      <c r="E45" s="3080"/>
      <c r="F45" s="3080"/>
      <c r="G45" s="3077"/>
      <c r="H45" s="3077"/>
      <c r="I45" s="3077"/>
      <c r="J45" s="3077"/>
      <c r="K45" s="3081"/>
      <c r="L45" s="3081"/>
      <c r="M45" s="3081"/>
      <c r="N45" s="3081"/>
      <c r="O45" s="3081"/>
      <c r="P45" s="3083">
        <v>21312</v>
      </c>
      <c r="Q45" s="3081"/>
      <c r="R45" s="3081"/>
      <c r="S45" s="3081"/>
      <c r="T45" s="3081"/>
      <c r="U45" s="3081"/>
      <c r="V45" s="3081"/>
      <c r="W45" s="3077"/>
    </row>
    <row r="46" spans="1:23" s="1230" customFormat="1" ht="19.5" customHeight="1" x14ac:dyDescent="0.25">
      <c r="A46" s="3077" t="s">
        <v>2274</v>
      </c>
      <c r="B46" s="3085" t="s">
        <v>2269</v>
      </c>
      <c r="C46" s="3080"/>
      <c r="D46" s="3080"/>
      <c r="E46" s="3080"/>
      <c r="F46" s="3080"/>
      <c r="G46" s="3077"/>
      <c r="H46" s="3077"/>
      <c r="I46" s="3077"/>
      <c r="J46" s="3077"/>
      <c r="K46" s="3081"/>
      <c r="L46" s="3081"/>
      <c r="M46" s="3081"/>
      <c r="N46" s="3081"/>
      <c r="O46" s="3081"/>
      <c r="P46" s="3083">
        <f>P47</f>
        <v>2019.4</v>
      </c>
      <c r="Q46" s="3081"/>
      <c r="R46" s="3081"/>
      <c r="S46" s="3081"/>
      <c r="T46" s="3081"/>
      <c r="U46" s="3081"/>
      <c r="V46" s="3081"/>
      <c r="W46" s="3077"/>
    </row>
    <row r="47" spans="1:23" s="1230" customFormat="1" ht="19.5" customHeight="1" x14ac:dyDescent="0.25">
      <c r="A47" s="3077"/>
      <c r="B47" s="3085" t="s">
        <v>2270</v>
      </c>
      <c r="C47" s="3080"/>
      <c r="D47" s="3080"/>
      <c r="E47" s="3080"/>
      <c r="F47" s="3080"/>
      <c r="G47" s="3077"/>
      <c r="H47" s="3077"/>
      <c r="I47" s="3077"/>
      <c r="J47" s="3077"/>
      <c r="K47" s="3081"/>
      <c r="L47" s="3081"/>
      <c r="M47" s="3081"/>
      <c r="N47" s="3081"/>
      <c r="O47" s="3081"/>
      <c r="P47" s="3083">
        <v>2019.4</v>
      </c>
      <c r="Q47" s="3081"/>
      <c r="R47" s="3081"/>
      <c r="S47" s="3081"/>
      <c r="T47" s="3081"/>
      <c r="U47" s="3081"/>
      <c r="V47" s="3081"/>
      <c r="W47" s="3077"/>
    </row>
    <row r="48" spans="1:23" s="1230" customFormat="1" ht="19.5" customHeight="1" x14ac:dyDescent="0.25">
      <c r="A48" s="3077" t="s">
        <v>2274</v>
      </c>
      <c r="B48" s="3085" t="s">
        <v>2271</v>
      </c>
      <c r="C48" s="3080"/>
      <c r="D48" s="3080"/>
      <c r="E48" s="3080"/>
      <c r="F48" s="3080"/>
      <c r="G48" s="3077"/>
      <c r="H48" s="3077"/>
      <c r="I48" s="3077"/>
      <c r="J48" s="3077"/>
      <c r="K48" s="3081"/>
      <c r="L48" s="3081"/>
      <c r="M48" s="3081"/>
      <c r="N48" s="3081"/>
      <c r="O48" s="3081"/>
      <c r="P48" s="3083">
        <f>P49</f>
        <v>6047.16</v>
      </c>
      <c r="Q48" s="3081"/>
      <c r="R48" s="3081"/>
      <c r="S48" s="3081"/>
      <c r="T48" s="3081"/>
      <c r="U48" s="3081"/>
      <c r="V48" s="3081"/>
      <c r="W48" s="3077"/>
    </row>
    <row r="49" spans="1:23" s="1230" customFormat="1" ht="19.5" customHeight="1" x14ac:dyDescent="0.25">
      <c r="A49" s="3077"/>
      <c r="B49" s="3085" t="s">
        <v>2270</v>
      </c>
      <c r="C49" s="3080"/>
      <c r="D49" s="3080"/>
      <c r="E49" s="3080"/>
      <c r="F49" s="3080"/>
      <c r="G49" s="3077"/>
      <c r="H49" s="3077"/>
      <c r="I49" s="3077"/>
      <c r="J49" s="3077"/>
      <c r="K49" s="3081"/>
      <c r="L49" s="3081"/>
      <c r="M49" s="3081"/>
      <c r="N49" s="3081"/>
      <c r="O49" s="3081"/>
      <c r="P49" s="3083">
        <v>6047.16</v>
      </c>
      <c r="Q49" s="3081"/>
      <c r="R49" s="3081"/>
      <c r="S49" s="3081"/>
      <c r="T49" s="3081"/>
      <c r="U49" s="3081"/>
      <c r="V49" s="3081"/>
      <c r="W49" s="3077"/>
    </row>
    <row r="50" spans="1:23" s="1230" customFormat="1" ht="19.5" customHeight="1" x14ac:dyDescent="0.25">
      <c r="A50" s="3077" t="s">
        <v>2274</v>
      </c>
      <c r="B50" s="3085" t="s">
        <v>2192</v>
      </c>
      <c r="C50" s="3080"/>
      <c r="D50" s="3080"/>
      <c r="E50" s="3080"/>
      <c r="F50" s="3080"/>
      <c r="G50" s="3077"/>
      <c r="H50" s="3077"/>
      <c r="I50" s="3077"/>
      <c r="J50" s="3077"/>
      <c r="K50" s="3081"/>
      <c r="L50" s="3081"/>
      <c r="M50" s="3081"/>
      <c r="N50" s="3081"/>
      <c r="O50" s="3081"/>
      <c r="P50" s="3083">
        <f>P51</f>
        <v>855</v>
      </c>
      <c r="Q50" s="3081"/>
      <c r="R50" s="3081"/>
      <c r="S50" s="3081"/>
      <c r="T50" s="3081"/>
      <c r="U50" s="3081"/>
      <c r="V50" s="3081"/>
      <c r="W50" s="3077"/>
    </row>
    <row r="51" spans="1:23" s="1230" customFormat="1" ht="19.5" customHeight="1" x14ac:dyDescent="0.25">
      <c r="A51" s="3077"/>
      <c r="B51" s="3085" t="s">
        <v>2270</v>
      </c>
      <c r="C51" s="3080"/>
      <c r="D51" s="3080"/>
      <c r="E51" s="3080"/>
      <c r="F51" s="3080"/>
      <c r="G51" s="3077"/>
      <c r="H51" s="3077"/>
      <c r="I51" s="3077"/>
      <c r="J51" s="3077"/>
      <c r="K51" s="3081"/>
      <c r="L51" s="3081"/>
      <c r="M51" s="3081"/>
      <c r="N51" s="3081"/>
      <c r="O51" s="3081"/>
      <c r="P51" s="3083">
        <v>855</v>
      </c>
      <c r="Q51" s="3081"/>
      <c r="R51" s="3081"/>
      <c r="S51" s="3081"/>
      <c r="T51" s="3081"/>
      <c r="U51" s="3081"/>
      <c r="V51" s="3081"/>
      <c r="W51" s="3077"/>
    </row>
    <row r="52" spans="1:23" s="1230" customFormat="1" ht="19.5" customHeight="1" x14ac:dyDescent="0.25">
      <c r="A52" s="3077" t="s">
        <v>2274</v>
      </c>
      <c r="B52" s="3085" t="s">
        <v>2191</v>
      </c>
      <c r="C52" s="3080"/>
      <c r="D52" s="3080"/>
      <c r="E52" s="3080"/>
      <c r="F52" s="3080"/>
      <c r="G52" s="3077"/>
      <c r="H52" s="3077"/>
      <c r="I52" s="3077"/>
      <c r="J52" s="3077"/>
      <c r="K52" s="3081"/>
      <c r="L52" s="3081"/>
      <c r="M52" s="3081"/>
      <c r="N52" s="3081"/>
      <c r="O52" s="3081"/>
      <c r="P52" s="3083">
        <f>P53</f>
        <v>5018</v>
      </c>
      <c r="Q52" s="3081"/>
      <c r="R52" s="3081"/>
      <c r="S52" s="3081"/>
      <c r="T52" s="3081"/>
      <c r="U52" s="3081"/>
      <c r="V52" s="3081"/>
      <c r="W52" s="3077"/>
    </row>
    <row r="53" spans="1:23" s="1230" customFormat="1" ht="19.5" customHeight="1" x14ac:dyDescent="0.25">
      <c r="A53" s="3077"/>
      <c r="B53" s="3085" t="s">
        <v>2270</v>
      </c>
      <c r="C53" s="3080"/>
      <c r="D53" s="3080"/>
      <c r="E53" s="3080"/>
      <c r="F53" s="3080"/>
      <c r="G53" s="3077"/>
      <c r="H53" s="3077"/>
      <c r="I53" s="3077"/>
      <c r="J53" s="3077"/>
      <c r="K53" s="3081"/>
      <c r="L53" s="3081"/>
      <c r="M53" s="3081"/>
      <c r="N53" s="3081"/>
      <c r="O53" s="3081"/>
      <c r="P53" s="3083">
        <v>5018</v>
      </c>
      <c r="Q53" s="3081"/>
      <c r="R53" s="3081"/>
      <c r="S53" s="3081"/>
      <c r="T53" s="3081"/>
      <c r="U53" s="3081"/>
      <c r="V53" s="3081"/>
      <c r="W53" s="3077"/>
    </row>
    <row r="54" spans="1:23" s="2851" customFormat="1" ht="19.5" customHeight="1" x14ac:dyDescent="0.25">
      <c r="A54" s="3071" t="s">
        <v>1013</v>
      </c>
      <c r="B54" s="3086" t="s">
        <v>2276</v>
      </c>
      <c r="C54" s="3078"/>
      <c r="D54" s="3078"/>
      <c r="E54" s="3078"/>
      <c r="F54" s="3078"/>
      <c r="G54" s="3071"/>
      <c r="H54" s="3071"/>
      <c r="I54" s="3071"/>
      <c r="J54" s="3071"/>
      <c r="K54" s="3075"/>
      <c r="L54" s="3075"/>
      <c r="M54" s="3075"/>
      <c r="N54" s="3075"/>
      <c r="O54" s="3075"/>
      <c r="P54" s="3079">
        <f>SUM(P55,P57,P59,P61,P63)</f>
        <v>1854924.0350000001</v>
      </c>
      <c r="Q54" s="3075"/>
      <c r="R54" s="3075"/>
      <c r="S54" s="3075"/>
      <c r="T54" s="3075"/>
      <c r="U54" s="3075"/>
      <c r="V54" s="3075"/>
      <c r="W54" s="3071"/>
    </row>
    <row r="55" spans="1:23" s="1230" customFormat="1" ht="19.5" customHeight="1" x14ac:dyDescent="0.25">
      <c r="A55" s="3077" t="s">
        <v>2274</v>
      </c>
      <c r="B55" s="3085" t="s">
        <v>2277</v>
      </c>
      <c r="C55" s="3080"/>
      <c r="D55" s="3080"/>
      <c r="E55" s="3080"/>
      <c r="F55" s="3080"/>
      <c r="G55" s="3077"/>
      <c r="H55" s="3077"/>
      <c r="I55" s="3077"/>
      <c r="J55" s="3077"/>
      <c r="K55" s="3081"/>
      <c r="L55" s="3081"/>
      <c r="M55" s="3081"/>
      <c r="N55" s="3081"/>
      <c r="O55" s="3081"/>
      <c r="P55" s="3083">
        <f>P56</f>
        <v>1850000</v>
      </c>
      <c r="Q55" s="3081"/>
      <c r="R55" s="3081"/>
      <c r="S55" s="3081"/>
      <c r="T55" s="3081"/>
      <c r="U55" s="3081"/>
      <c r="V55" s="3081"/>
      <c r="W55" s="3077"/>
    </row>
    <row r="56" spans="1:23" s="1230" customFormat="1" ht="45" x14ac:dyDescent="0.25">
      <c r="A56" s="3077"/>
      <c r="B56" s="3085" t="s">
        <v>2278</v>
      </c>
      <c r="C56" s="3080"/>
      <c r="D56" s="3080"/>
      <c r="E56" s="3080"/>
      <c r="F56" s="3080"/>
      <c r="G56" s="3077"/>
      <c r="H56" s="3077"/>
      <c r="I56" s="3077"/>
      <c r="J56" s="3077"/>
      <c r="K56" s="3081"/>
      <c r="L56" s="3081"/>
      <c r="M56" s="3081"/>
      <c r="N56" s="3081"/>
      <c r="O56" s="3081"/>
      <c r="P56" s="3083">
        <v>1850000</v>
      </c>
      <c r="Q56" s="3081"/>
      <c r="R56" s="3081"/>
      <c r="S56" s="3081"/>
      <c r="T56" s="3081"/>
      <c r="U56" s="3081"/>
      <c r="V56" s="3081"/>
      <c r="W56" s="3077"/>
    </row>
    <row r="57" spans="1:23" s="1230" customFormat="1" ht="19.5" customHeight="1" x14ac:dyDescent="0.25">
      <c r="A57" s="3077" t="s">
        <v>2274</v>
      </c>
      <c r="B57" s="3085" t="s">
        <v>2189</v>
      </c>
      <c r="C57" s="3080"/>
      <c r="D57" s="3080"/>
      <c r="E57" s="3080"/>
      <c r="F57" s="3080"/>
      <c r="G57" s="3077"/>
      <c r="H57" s="3077"/>
      <c r="I57" s="3077"/>
      <c r="J57" s="3077"/>
      <c r="K57" s="3081"/>
      <c r="L57" s="3081"/>
      <c r="M57" s="3081"/>
      <c r="N57" s="3081"/>
      <c r="O57" s="3081"/>
      <c r="P57" s="3083">
        <f>P58</f>
        <v>1709.174</v>
      </c>
      <c r="Q57" s="3081"/>
      <c r="R57" s="3081"/>
      <c r="S57" s="3081"/>
      <c r="T57" s="3081"/>
      <c r="U57" s="3081"/>
      <c r="V57" s="3081"/>
      <c r="W57" s="3077"/>
    </row>
    <row r="58" spans="1:23" s="1230" customFormat="1" ht="60" x14ac:dyDescent="0.25">
      <c r="A58" s="3077"/>
      <c r="B58" s="3085" t="s">
        <v>2167</v>
      </c>
      <c r="C58" s="3080"/>
      <c r="D58" s="3080"/>
      <c r="E58" s="3080"/>
      <c r="F58" s="3080"/>
      <c r="G58" s="3077"/>
      <c r="H58" s="3077"/>
      <c r="I58" s="3077"/>
      <c r="J58" s="3077"/>
      <c r="K58" s="3081"/>
      <c r="L58" s="3081"/>
      <c r="M58" s="3081"/>
      <c r="N58" s="3081"/>
      <c r="O58" s="3081"/>
      <c r="P58" s="3083">
        <v>1709.174</v>
      </c>
      <c r="Q58" s="3081"/>
      <c r="R58" s="3081"/>
      <c r="S58" s="3081"/>
      <c r="T58" s="3081"/>
      <c r="U58" s="3081"/>
      <c r="V58" s="3081"/>
      <c r="W58" s="3077"/>
    </row>
    <row r="59" spans="1:23" s="1230" customFormat="1" ht="19.5" customHeight="1" x14ac:dyDescent="0.25">
      <c r="A59" s="3077" t="s">
        <v>2274</v>
      </c>
      <c r="B59" s="3085" t="s">
        <v>2265</v>
      </c>
      <c r="C59" s="3080"/>
      <c r="D59" s="3080"/>
      <c r="E59" s="3080"/>
      <c r="F59" s="3080"/>
      <c r="G59" s="3077"/>
      <c r="H59" s="3077"/>
      <c r="I59" s="3077"/>
      <c r="J59" s="3077"/>
      <c r="K59" s="3081"/>
      <c r="L59" s="3081"/>
      <c r="M59" s="3081"/>
      <c r="N59" s="3081"/>
      <c r="O59" s="3081"/>
      <c r="P59" s="3083">
        <f>P60</f>
        <v>573.49599999999998</v>
      </c>
      <c r="Q59" s="3081"/>
      <c r="R59" s="3081"/>
      <c r="S59" s="3081"/>
      <c r="T59" s="3081"/>
      <c r="U59" s="3081"/>
      <c r="V59" s="3081"/>
      <c r="W59" s="3077"/>
    </row>
    <row r="60" spans="1:23" s="1230" customFormat="1" ht="60" x14ac:dyDescent="0.25">
      <c r="A60" s="3077"/>
      <c r="B60" s="3085" t="s">
        <v>2167</v>
      </c>
      <c r="C60" s="3080"/>
      <c r="D60" s="3080"/>
      <c r="E60" s="3080"/>
      <c r="F60" s="3080"/>
      <c r="G60" s="3077"/>
      <c r="H60" s="3077"/>
      <c r="I60" s="3077"/>
      <c r="J60" s="3077"/>
      <c r="K60" s="3081"/>
      <c r="L60" s="3081"/>
      <c r="M60" s="3081"/>
      <c r="N60" s="3081"/>
      <c r="O60" s="3081"/>
      <c r="P60" s="3083">
        <v>573.49599999999998</v>
      </c>
      <c r="Q60" s="3081"/>
      <c r="R60" s="3081"/>
      <c r="S60" s="3081"/>
      <c r="T60" s="3081"/>
      <c r="U60" s="3081"/>
      <c r="V60" s="3081"/>
      <c r="W60" s="3077"/>
    </row>
    <row r="61" spans="1:23" s="1230" customFormat="1" ht="19.5" customHeight="1" x14ac:dyDescent="0.25">
      <c r="A61" s="3077" t="s">
        <v>2274</v>
      </c>
      <c r="B61" s="3080" t="s">
        <v>2192</v>
      </c>
      <c r="C61" s="3080"/>
      <c r="D61" s="3080"/>
      <c r="E61" s="3080"/>
      <c r="F61" s="3080"/>
      <c r="G61" s="3077"/>
      <c r="H61" s="3077"/>
      <c r="I61" s="3077"/>
      <c r="J61" s="3077"/>
      <c r="K61" s="3081"/>
      <c r="L61" s="3081"/>
      <c r="M61" s="3081"/>
      <c r="N61" s="3081"/>
      <c r="O61" s="3081"/>
      <c r="P61" s="3083">
        <f>P62</f>
        <v>788.71299999999997</v>
      </c>
      <c r="Q61" s="3081"/>
      <c r="R61" s="3081"/>
      <c r="S61" s="3081"/>
      <c r="T61" s="3081"/>
      <c r="U61" s="3081"/>
      <c r="V61" s="3081"/>
      <c r="W61" s="3077"/>
    </row>
    <row r="62" spans="1:23" s="1230" customFormat="1" ht="60" x14ac:dyDescent="0.25">
      <c r="A62" s="3077"/>
      <c r="B62" s="3085" t="s">
        <v>2167</v>
      </c>
      <c r="C62" s="3080"/>
      <c r="D62" s="3080"/>
      <c r="E62" s="3080"/>
      <c r="F62" s="3080"/>
      <c r="G62" s="3077"/>
      <c r="H62" s="3077"/>
      <c r="I62" s="3077"/>
      <c r="J62" s="3077"/>
      <c r="K62" s="3081"/>
      <c r="L62" s="3081"/>
      <c r="M62" s="3081"/>
      <c r="N62" s="3081"/>
      <c r="O62" s="3081"/>
      <c r="P62" s="3083">
        <v>788.71299999999997</v>
      </c>
      <c r="Q62" s="3081"/>
      <c r="R62" s="3081"/>
      <c r="S62" s="3081"/>
      <c r="T62" s="3081"/>
      <c r="U62" s="3081"/>
      <c r="V62" s="3081"/>
      <c r="W62" s="3077"/>
    </row>
    <row r="63" spans="1:23" s="1230" customFormat="1" ht="19.5" customHeight="1" x14ac:dyDescent="0.25">
      <c r="A63" s="3077" t="s">
        <v>2274</v>
      </c>
      <c r="B63" s="3080" t="s">
        <v>2188</v>
      </c>
      <c r="C63" s="3080"/>
      <c r="D63" s="3080"/>
      <c r="E63" s="3080"/>
      <c r="F63" s="3080"/>
      <c r="G63" s="3077"/>
      <c r="H63" s="3077"/>
      <c r="I63" s="3077"/>
      <c r="J63" s="3077"/>
      <c r="K63" s="3081"/>
      <c r="L63" s="3081"/>
      <c r="M63" s="3081"/>
      <c r="N63" s="3081"/>
      <c r="O63" s="3081"/>
      <c r="P63" s="3083">
        <f>P64</f>
        <v>1852.652</v>
      </c>
      <c r="Q63" s="3081"/>
      <c r="R63" s="3081"/>
      <c r="S63" s="3081"/>
      <c r="T63" s="3081"/>
      <c r="U63" s="3081"/>
      <c r="V63" s="3081"/>
      <c r="W63" s="3077"/>
    </row>
    <row r="64" spans="1:23" s="1230" customFormat="1" ht="60" x14ac:dyDescent="0.25">
      <c r="A64" s="3077"/>
      <c r="B64" s="3085" t="s">
        <v>2167</v>
      </c>
      <c r="C64" s="3080"/>
      <c r="D64" s="3080"/>
      <c r="E64" s="3080"/>
      <c r="F64" s="3080"/>
      <c r="G64" s="3077"/>
      <c r="H64" s="3077"/>
      <c r="I64" s="3077"/>
      <c r="J64" s="3077"/>
      <c r="K64" s="3081"/>
      <c r="L64" s="3081"/>
      <c r="M64" s="3081"/>
      <c r="N64" s="3081"/>
      <c r="O64" s="3081"/>
      <c r="P64" s="3083">
        <v>1852.652</v>
      </c>
      <c r="Q64" s="3081"/>
      <c r="R64" s="3081"/>
      <c r="S64" s="3081"/>
      <c r="T64" s="3081"/>
      <c r="U64" s="3081"/>
      <c r="V64" s="3081"/>
      <c r="W64" s="3077"/>
    </row>
    <row r="65" spans="1:23" s="2851" customFormat="1" ht="19.5" customHeight="1" x14ac:dyDescent="0.25">
      <c r="A65" s="3071" t="s">
        <v>2267</v>
      </c>
      <c r="B65" s="3078" t="s">
        <v>2272</v>
      </c>
      <c r="C65" s="3078"/>
      <c r="D65" s="3078"/>
      <c r="E65" s="3078"/>
      <c r="F65" s="3078"/>
      <c r="G65" s="3071"/>
      <c r="H65" s="3071"/>
      <c r="I65" s="3071"/>
      <c r="J65" s="3071"/>
      <c r="K65" s="3075"/>
      <c r="L65" s="3075"/>
      <c r="M65" s="3075"/>
      <c r="N65" s="3075"/>
      <c r="O65" s="3075"/>
      <c r="P65" s="3079">
        <f>SUM(P66:P68)</f>
        <v>9165603</v>
      </c>
      <c r="Q65" s="3075"/>
      <c r="R65" s="3075"/>
      <c r="S65" s="3075"/>
      <c r="T65" s="3075"/>
      <c r="U65" s="3075"/>
      <c r="V65" s="3075"/>
      <c r="W65" s="3071"/>
    </row>
    <row r="66" spans="1:23" s="1230" customFormat="1" ht="60" x14ac:dyDescent="0.25">
      <c r="A66" s="3077" t="s">
        <v>2274</v>
      </c>
      <c r="B66" s="3087" t="s">
        <v>2279</v>
      </c>
      <c r="C66" s="3080"/>
      <c r="D66" s="3080"/>
      <c r="E66" s="3080"/>
      <c r="F66" s="3080"/>
      <c r="G66" s="3077"/>
      <c r="H66" s="3077"/>
      <c r="I66" s="3077"/>
      <c r="J66" s="3077"/>
      <c r="K66" s="3081"/>
      <c r="L66" s="3081"/>
      <c r="M66" s="3081"/>
      <c r="N66" s="3081"/>
      <c r="O66" s="3081"/>
      <c r="P66" s="3083">
        <v>3718000</v>
      </c>
      <c r="Q66" s="3081"/>
      <c r="R66" s="3081"/>
      <c r="S66" s="3081"/>
      <c r="T66" s="3081"/>
      <c r="U66" s="3081"/>
      <c r="V66" s="3081"/>
      <c r="W66" s="3077" t="s">
        <v>2263</v>
      </c>
    </row>
    <row r="67" spans="1:23" s="1230" customFormat="1" ht="60" x14ac:dyDescent="0.25">
      <c r="A67" s="3077" t="s">
        <v>2274</v>
      </c>
      <c r="B67" s="3088" t="s">
        <v>2280</v>
      </c>
      <c r="C67" s="3080"/>
      <c r="D67" s="3080"/>
      <c r="E67" s="3080"/>
      <c r="F67" s="3080"/>
      <c r="G67" s="3077"/>
      <c r="H67" s="3077"/>
      <c r="I67" s="3077"/>
      <c r="J67" s="3077"/>
      <c r="K67" s="3081"/>
      <c r="L67" s="3081"/>
      <c r="M67" s="3081"/>
      <c r="N67" s="3081"/>
      <c r="O67" s="3081"/>
      <c r="P67" s="3083">
        <v>5000000</v>
      </c>
      <c r="Q67" s="3081"/>
      <c r="R67" s="3081"/>
      <c r="S67" s="3081"/>
      <c r="T67" s="3081"/>
      <c r="U67" s="3081"/>
      <c r="V67" s="3081"/>
      <c r="W67" s="3077" t="s">
        <v>2252</v>
      </c>
    </row>
    <row r="68" spans="1:23" s="1230" customFormat="1" ht="60" x14ac:dyDescent="0.25">
      <c r="A68" s="3077" t="s">
        <v>2274</v>
      </c>
      <c r="B68" s="3088" t="s">
        <v>2281</v>
      </c>
      <c r="C68" s="3080"/>
      <c r="D68" s="3080"/>
      <c r="E68" s="3080"/>
      <c r="F68" s="3080"/>
      <c r="G68" s="3077"/>
      <c r="H68" s="3077"/>
      <c r="I68" s="3077"/>
      <c r="J68" s="3077"/>
      <c r="K68" s="3081"/>
      <c r="L68" s="3081"/>
      <c r="M68" s="3081"/>
      <c r="N68" s="3081"/>
      <c r="O68" s="3081"/>
      <c r="P68" s="3083">
        <v>447603</v>
      </c>
      <c r="Q68" s="3081"/>
      <c r="R68" s="3081"/>
      <c r="S68" s="3081"/>
      <c r="T68" s="3081"/>
      <c r="U68" s="3081"/>
      <c r="V68" s="3081"/>
      <c r="W68" s="3077" t="s">
        <v>2282</v>
      </c>
    </row>
    <row r="69" spans="1:23" s="2851" customFormat="1" ht="85.5" customHeight="1" x14ac:dyDescent="0.25">
      <c r="A69" s="3071">
        <v>6</v>
      </c>
      <c r="B69" s="3078" t="s">
        <v>1066</v>
      </c>
      <c r="C69" s="3078"/>
      <c r="D69" s="3078"/>
      <c r="E69" s="3078"/>
      <c r="F69" s="3078"/>
      <c r="G69" s="3071"/>
      <c r="H69" s="3071"/>
      <c r="I69" s="3071"/>
      <c r="J69" s="3071"/>
      <c r="K69" s="3075"/>
      <c r="L69" s="3075"/>
      <c r="M69" s="3075"/>
      <c r="N69" s="3075"/>
      <c r="O69" s="3075"/>
      <c r="P69" s="3079"/>
      <c r="Q69" s="3075"/>
      <c r="R69" s="3075"/>
      <c r="S69" s="3075"/>
      <c r="T69" s="3075"/>
      <c r="U69" s="3075"/>
      <c r="V69" s="3075"/>
      <c r="W69" s="3071"/>
    </row>
    <row r="70" spans="1:23" s="1230" customFormat="1" ht="15" hidden="1" x14ac:dyDescent="0.25">
      <c r="A70" s="3077"/>
      <c r="B70" s="3080" t="s">
        <v>49</v>
      </c>
      <c r="C70" s="3080"/>
      <c r="D70" s="3080"/>
      <c r="E70" s="3080"/>
      <c r="F70" s="3080"/>
      <c r="G70" s="3077"/>
      <c r="H70" s="3077"/>
      <c r="I70" s="3077"/>
      <c r="J70" s="3077"/>
      <c r="K70" s="3081"/>
      <c r="L70" s="3081"/>
      <c r="M70" s="3081"/>
      <c r="N70" s="3081"/>
      <c r="O70" s="3081"/>
      <c r="P70" s="3083"/>
      <c r="Q70" s="3081"/>
      <c r="R70" s="3081"/>
      <c r="S70" s="3081"/>
      <c r="T70" s="3081"/>
      <c r="U70" s="3081"/>
      <c r="V70" s="3081"/>
      <c r="W70" s="3077"/>
    </row>
    <row r="71" spans="1:23" s="1230" customFormat="1" ht="15" hidden="1" x14ac:dyDescent="0.25">
      <c r="A71" s="3077"/>
      <c r="B71" s="3080" t="s">
        <v>1004</v>
      </c>
      <c r="C71" s="3080"/>
      <c r="D71" s="3080"/>
      <c r="E71" s="3080"/>
      <c r="F71" s="3080"/>
      <c r="G71" s="3077"/>
      <c r="H71" s="3077"/>
      <c r="I71" s="3077"/>
      <c r="J71" s="3077"/>
      <c r="K71" s="3081"/>
      <c r="L71" s="3081"/>
      <c r="M71" s="3081"/>
      <c r="N71" s="3081"/>
      <c r="O71" s="3081"/>
      <c r="P71" s="3083"/>
      <c r="Q71" s="3081"/>
      <c r="R71" s="3081"/>
      <c r="S71" s="3081"/>
      <c r="T71" s="3081"/>
      <c r="U71" s="3081"/>
      <c r="V71" s="3081"/>
      <c r="W71" s="3077"/>
    </row>
    <row r="72" spans="1:23" s="2851" customFormat="1" ht="85.5" x14ac:dyDescent="0.25">
      <c r="A72" s="3071">
        <v>7</v>
      </c>
      <c r="B72" s="3078" t="s">
        <v>1067</v>
      </c>
      <c r="C72" s="3078"/>
      <c r="D72" s="3078"/>
      <c r="E72" s="3078"/>
      <c r="F72" s="3078"/>
      <c r="G72" s="3071"/>
      <c r="H72" s="3071"/>
      <c r="I72" s="3071"/>
      <c r="J72" s="3071"/>
      <c r="K72" s="3075"/>
      <c r="L72" s="3075"/>
      <c r="M72" s="3075"/>
      <c r="N72" s="3075"/>
      <c r="O72" s="3075"/>
      <c r="P72" s="3079">
        <f>SUM(P74:P78)</f>
        <v>17630076.803600002</v>
      </c>
      <c r="Q72" s="3075"/>
      <c r="R72" s="3075"/>
      <c r="S72" s="3075"/>
      <c r="T72" s="3075"/>
      <c r="U72" s="3075"/>
      <c r="V72" s="3075"/>
      <c r="W72" s="3071"/>
    </row>
    <row r="73" spans="1:23" s="1230" customFormat="1" ht="19.5" customHeight="1" x14ac:dyDescent="0.25">
      <c r="A73" s="3077"/>
      <c r="B73" s="3080" t="s">
        <v>49</v>
      </c>
      <c r="C73" s="3080"/>
      <c r="D73" s="3080"/>
      <c r="E73" s="3080"/>
      <c r="F73" s="3080"/>
      <c r="G73" s="3077"/>
      <c r="H73" s="3077"/>
      <c r="I73" s="3077"/>
      <c r="J73" s="3077"/>
      <c r="K73" s="3081"/>
      <c r="L73" s="3081"/>
      <c r="M73" s="3081"/>
      <c r="N73" s="3081"/>
      <c r="O73" s="3081"/>
      <c r="P73" s="3083"/>
      <c r="Q73" s="3081"/>
      <c r="R73" s="3081"/>
      <c r="S73" s="3081"/>
      <c r="T73" s="3081"/>
      <c r="U73" s="3081"/>
      <c r="V73" s="3081"/>
      <c r="W73" s="3077"/>
    </row>
    <row r="74" spans="1:23" s="1230" customFormat="1" ht="19.5" customHeight="1" x14ac:dyDescent="0.25">
      <c r="A74" s="3077"/>
      <c r="B74" s="3080" t="s">
        <v>2285</v>
      </c>
      <c r="C74" s="3080"/>
      <c r="D74" s="3080"/>
      <c r="E74" s="3080"/>
      <c r="F74" s="3080"/>
      <c r="G74" s="3077"/>
      <c r="H74" s="3077"/>
      <c r="I74" s="3077"/>
      <c r="J74" s="3077"/>
      <c r="K74" s="3081"/>
      <c r="L74" s="3081"/>
      <c r="M74" s="3081"/>
      <c r="N74" s="3081"/>
      <c r="O74" s="3081"/>
      <c r="P74" s="3083">
        <v>11306933.379000001</v>
      </c>
      <c r="Q74" s="3081"/>
      <c r="R74" s="3081"/>
      <c r="S74" s="3081"/>
      <c r="T74" s="3081"/>
      <c r="U74" s="3081"/>
      <c r="V74" s="3081"/>
      <c r="W74" s="3077"/>
    </row>
    <row r="75" spans="1:23" s="1230" customFormat="1" ht="61.5" customHeight="1" x14ac:dyDescent="0.25">
      <c r="A75" s="3077"/>
      <c r="B75" s="3080" t="s">
        <v>2286</v>
      </c>
      <c r="C75" s="3080"/>
      <c r="D75" s="3080"/>
      <c r="E75" s="3080"/>
      <c r="F75" s="3080"/>
      <c r="G75" s="3077"/>
      <c r="H75" s="3077"/>
      <c r="I75" s="3077"/>
      <c r="J75" s="3077"/>
      <c r="K75" s="3081"/>
      <c r="L75" s="3081"/>
      <c r="M75" s="3081"/>
      <c r="N75" s="3081"/>
      <c r="O75" s="3081"/>
      <c r="P75" s="3083">
        <v>1925068.8740000001</v>
      </c>
      <c r="Q75" s="3081"/>
      <c r="R75" s="3081"/>
      <c r="S75" s="3081"/>
      <c r="T75" s="3081"/>
      <c r="U75" s="3081"/>
      <c r="V75" s="3081"/>
      <c r="W75" s="3077"/>
    </row>
    <row r="76" spans="1:23" s="1230" customFormat="1" ht="109.5" customHeight="1" x14ac:dyDescent="0.25">
      <c r="A76" s="3077"/>
      <c r="B76" s="3080" t="s">
        <v>2287</v>
      </c>
      <c r="C76" s="3080"/>
      <c r="D76" s="3080"/>
      <c r="E76" s="3080"/>
      <c r="F76" s="3080"/>
      <c r="G76" s="3077"/>
      <c r="H76" s="3077"/>
      <c r="I76" s="3077"/>
      <c r="J76" s="3077"/>
      <c r="K76" s="3081"/>
      <c r="L76" s="3081"/>
      <c r="M76" s="3081"/>
      <c r="N76" s="3081"/>
      <c r="O76" s="3081"/>
      <c r="P76" s="3083">
        <v>196770.81899999999</v>
      </c>
      <c r="Q76" s="3081"/>
      <c r="R76" s="3081"/>
      <c r="S76" s="3081"/>
      <c r="T76" s="3081"/>
      <c r="U76" s="3081"/>
      <c r="V76" s="3081"/>
      <c r="W76" s="3077"/>
    </row>
    <row r="77" spans="1:23" s="1230" customFormat="1" ht="31.5" customHeight="1" x14ac:dyDescent="0.25">
      <c r="A77" s="3077"/>
      <c r="B77" s="3080" t="s">
        <v>2288</v>
      </c>
      <c r="C77" s="3080"/>
      <c r="D77" s="3080"/>
      <c r="E77" s="3080"/>
      <c r="F77" s="3080"/>
      <c r="G77" s="3077"/>
      <c r="H77" s="3077"/>
      <c r="I77" s="3077"/>
      <c r="J77" s="3077"/>
      <c r="K77" s="3081"/>
      <c r="L77" s="3081"/>
      <c r="M77" s="3081"/>
      <c r="N77" s="3081"/>
      <c r="O77" s="3081"/>
      <c r="P77" s="3083">
        <v>3270327.1830000002</v>
      </c>
      <c r="Q77" s="3081"/>
      <c r="R77" s="3081"/>
      <c r="S77" s="3081"/>
      <c r="T77" s="3081"/>
      <c r="U77" s="3081"/>
      <c r="V77" s="3081"/>
      <c r="W77" s="3077"/>
    </row>
    <row r="78" spans="1:23" s="1230" customFormat="1" ht="19.5" customHeight="1" x14ac:dyDescent="0.25">
      <c r="A78" s="3077"/>
      <c r="B78" s="3080" t="s">
        <v>2289</v>
      </c>
      <c r="C78" s="3080"/>
      <c r="D78" s="3080"/>
      <c r="E78" s="3080"/>
      <c r="F78" s="3080"/>
      <c r="G78" s="3077"/>
      <c r="H78" s="3077"/>
      <c r="I78" s="3077"/>
      <c r="J78" s="3077"/>
      <c r="K78" s="3081"/>
      <c r="L78" s="3081"/>
      <c r="M78" s="3081"/>
      <c r="N78" s="3081"/>
      <c r="O78" s="3081"/>
      <c r="P78" s="3083">
        <v>930976.54859999998</v>
      </c>
      <c r="Q78" s="3081"/>
      <c r="R78" s="3081"/>
      <c r="S78" s="3081"/>
      <c r="T78" s="3081"/>
      <c r="U78" s="3081"/>
      <c r="V78" s="3081"/>
      <c r="W78" s="3077"/>
    </row>
    <row r="79" spans="1:23" s="2851" customFormat="1" ht="19.5" customHeight="1" x14ac:dyDescent="0.25">
      <c r="A79" s="3071">
        <v>8</v>
      </c>
      <c r="B79" s="3078" t="s">
        <v>1068</v>
      </c>
      <c r="C79" s="3078"/>
      <c r="D79" s="3078"/>
      <c r="E79" s="3078"/>
      <c r="F79" s="3078"/>
      <c r="G79" s="3071"/>
      <c r="H79" s="3071"/>
      <c r="I79" s="3071"/>
      <c r="J79" s="3071"/>
      <c r="K79" s="3075"/>
      <c r="L79" s="3075"/>
      <c r="M79" s="3075"/>
      <c r="N79" s="3075"/>
      <c r="O79" s="3075"/>
      <c r="P79" s="3079">
        <f>SUM(P81,P94,P101)</f>
        <v>2446816.2599999998</v>
      </c>
      <c r="Q79" s="3075"/>
      <c r="R79" s="3075"/>
      <c r="S79" s="3075"/>
      <c r="T79" s="3075"/>
      <c r="U79" s="3075"/>
      <c r="V79" s="3075"/>
      <c r="W79" s="3071"/>
    </row>
    <row r="80" spans="1:23" s="1230" customFormat="1" ht="19.5" customHeight="1" x14ac:dyDescent="0.25">
      <c r="A80" s="3077"/>
      <c r="B80" s="3080" t="s">
        <v>49</v>
      </c>
      <c r="C80" s="3080"/>
      <c r="D80" s="3080"/>
      <c r="E80" s="3080"/>
      <c r="F80" s="3080"/>
      <c r="G80" s="3077"/>
      <c r="H80" s="3077"/>
      <c r="I80" s="3077"/>
      <c r="J80" s="3077"/>
      <c r="K80" s="3081"/>
      <c r="L80" s="3081"/>
      <c r="M80" s="3081"/>
      <c r="N80" s="3081"/>
      <c r="O80" s="3081"/>
      <c r="P80" s="3083"/>
      <c r="Q80" s="3081"/>
      <c r="R80" s="3081"/>
      <c r="S80" s="3081"/>
      <c r="T80" s="3081"/>
      <c r="U80" s="3081"/>
      <c r="V80" s="3081"/>
      <c r="W80" s="3077"/>
    </row>
    <row r="81" spans="1:23" s="2851" customFormat="1" ht="46.5" customHeight="1" x14ac:dyDescent="0.25">
      <c r="A81" s="3071" t="s">
        <v>1249</v>
      </c>
      <c r="B81" s="3078" t="s">
        <v>2291</v>
      </c>
      <c r="C81" s="3078"/>
      <c r="D81" s="3078"/>
      <c r="E81" s="3078"/>
      <c r="F81" s="3078"/>
      <c r="G81" s="3071"/>
      <c r="H81" s="3071"/>
      <c r="I81" s="3071"/>
      <c r="J81" s="3071"/>
      <c r="K81" s="3075"/>
      <c r="L81" s="3075"/>
      <c r="M81" s="3075"/>
      <c r="N81" s="3075"/>
      <c r="O81" s="3075"/>
      <c r="P81" s="3079">
        <f>SUM(P82,P85,P88,P91)</f>
        <v>903128.7</v>
      </c>
      <c r="Q81" s="3075"/>
      <c r="R81" s="3075"/>
      <c r="S81" s="3075"/>
      <c r="T81" s="3075"/>
      <c r="U81" s="3075"/>
      <c r="V81" s="3075"/>
      <c r="W81" s="3071"/>
    </row>
    <row r="82" spans="1:23" s="1230" customFormat="1" ht="33.75" customHeight="1" x14ac:dyDescent="0.25">
      <c r="A82" s="3077"/>
      <c r="B82" s="3080" t="s">
        <v>2290</v>
      </c>
      <c r="C82" s="3080"/>
      <c r="D82" s="3080"/>
      <c r="E82" s="3080"/>
      <c r="F82" s="3080"/>
      <c r="G82" s="3077"/>
      <c r="H82" s="3077"/>
      <c r="I82" s="3077"/>
      <c r="J82" s="3077"/>
      <c r="K82" s="3081"/>
      <c r="L82" s="3081"/>
      <c r="M82" s="3081"/>
      <c r="N82" s="3081"/>
      <c r="O82" s="3081"/>
      <c r="P82" s="3083">
        <f>P83+P84</f>
        <v>492390</v>
      </c>
      <c r="Q82" s="3081"/>
      <c r="R82" s="3081"/>
      <c r="S82" s="3081"/>
      <c r="T82" s="3081"/>
      <c r="U82" s="3081"/>
      <c r="V82" s="3081"/>
      <c r="W82" s="3077"/>
    </row>
    <row r="83" spans="1:23" s="1230" customFormat="1" ht="17.25" customHeight="1" x14ac:dyDescent="0.25">
      <c r="A83" s="3077"/>
      <c r="B83" s="3089" t="s">
        <v>2059</v>
      </c>
      <c r="C83" s="3080"/>
      <c r="D83" s="3080"/>
      <c r="E83" s="3080"/>
      <c r="F83" s="3080"/>
      <c r="G83" s="3077"/>
      <c r="H83" s="3077"/>
      <c r="I83" s="3077"/>
      <c r="J83" s="3077"/>
      <c r="K83" s="3081"/>
      <c r="L83" s="3081"/>
      <c r="M83" s="3081"/>
      <c r="N83" s="3081"/>
      <c r="O83" s="3081"/>
      <c r="P83" s="3083">
        <v>482890</v>
      </c>
      <c r="Q83" s="3081"/>
      <c r="R83" s="3081"/>
      <c r="S83" s="3081"/>
      <c r="T83" s="3081"/>
      <c r="U83" s="3081"/>
      <c r="V83" s="3081"/>
      <c r="W83" s="3077"/>
    </row>
    <row r="84" spans="1:23" s="1230" customFormat="1" ht="17.25" customHeight="1" x14ac:dyDescent="0.25">
      <c r="A84" s="3077"/>
      <c r="B84" s="3089" t="s">
        <v>2060</v>
      </c>
      <c r="C84" s="3080"/>
      <c r="D84" s="3080"/>
      <c r="E84" s="3080"/>
      <c r="F84" s="3080"/>
      <c r="G84" s="3077"/>
      <c r="H84" s="3077"/>
      <c r="I84" s="3077"/>
      <c r="J84" s="3077"/>
      <c r="K84" s="3081"/>
      <c r="L84" s="3081"/>
      <c r="M84" s="3081"/>
      <c r="N84" s="3081"/>
      <c r="O84" s="3081"/>
      <c r="P84" s="3083">
        <v>9500</v>
      </c>
      <c r="Q84" s="3081"/>
      <c r="R84" s="3081"/>
      <c r="S84" s="3081"/>
      <c r="T84" s="3081"/>
      <c r="U84" s="3081"/>
      <c r="V84" s="3081"/>
      <c r="W84" s="3077"/>
    </row>
    <row r="85" spans="1:23" s="1230" customFormat="1" ht="31.5" customHeight="1" x14ac:dyDescent="0.25">
      <c r="A85" s="3077"/>
      <c r="B85" s="3080" t="s">
        <v>2292</v>
      </c>
      <c r="C85" s="3080"/>
      <c r="D85" s="3080"/>
      <c r="E85" s="3080"/>
      <c r="F85" s="3080"/>
      <c r="G85" s="3077"/>
      <c r="H85" s="3077"/>
      <c r="I85" s="3077"/>
      <c r="J85" s="3077"/>
      <c r="K85" s="3081"/>
      <c r="L85" s="3081"/>
      <c r="M85" s="3081"/>
      <c r="N85" s="3081"/>
      <c r="O85" s="3081"/>
      <c r="P85" s="3083">
        <f>P86+P87</f>
        <v>258942</v>
      </c>
      <c r="Q85" s="3081"/>
      <c r="R85" s="3081"/>
      <c r="S85" s="3081"/>
      <c r="T85" s="3081"/>
      <c r="U85" s="3081"/>
      <c r="V85" s="3081"/>
      <c r="W85" s="3077"/>
    </row>
    <row r="86" spans="1:23" s="1230" customFormat="1" ht="17.25" customHeight="1" x14ac:dyDescent="0.25">
      <c r="A86" s="3077"/>
      <c r="B86" s="3089" t="s">
        <v>2059</v>
      </c>
      <c r="C86" s="3080"/>
      <c r="D86" s="3080"/>
      <c r="E86" s="3080"/>
      <c r="F86" s="3080"/>
      <c r="G86" s="3077"/>
      <c r="H86" s="3077"/>
      <c r="I86" s="3077"/>
      <c r="J86" s="3077"/>
      <c r="K86" s="3081"/>
      <c r="L86" s="3081"/>
      <c r="M86" s="3081"/>
      <c r="N86" s="3081"/>
      <c r="O86" s="3081"/>
      <c r="P86" s="3083">
        <v>251323.74</v>
      </c>
      <c r="Q86" s="3081"/>
      <c r="R86" s="3081"/>
      <c r="S86" s="3081"/>
      <c r="T86" s="3081"/>
      <c r="U86" s="3081"/>
      <c r="V86" s="3081"/>
      <c r="W86" s="3077"/>
    </row>
    <row r="87" spans="1:23" s="1230" customFormat="1" ht="17.25" customHeight="1" x14ac:dyDescent="0.25">
      <c r="A87" s="3077"/>
      <c r="B87" s="3089" t="s">
        <v>2060</v>
      </c>
      <c r="C87" s="3080"/>
      <c r="D87" s="3080"/>
      <c r="E87" s="3080"/>
      <c r="F87" s="3080"/>
      <c r="G87" s="3077"/>
      <c r="H87" s="3077"/>
      <c r="I87" s="3077"/>
      <c r="J87" s="3077"/>
      <c r="K87" s="3081"/>
      <c r="L87" s="3081"/>
      <c r="M87" s="3081"/>
      <c r="N87" s="3081"/>
      <c r="O87" s="3081"/>
      <c r="P87" s="3083">
        <v>7618.26</v>
      </c>
      <c r="Q87" s="3081"/>
      <c r="R87" s="3081"/>
      <c r="S87" s="3081"/>
      <c r="T87" s="3081"/>
      <c r="U87" s="3081"/>
      <c r="V87" s="3081"/>
      <c r="W87" s="3077"/>
    </row>
    <row r="88" spans="1:23" s="1230" customFormat="1" ht="31.5" customHeight="1" x14ac:dyDescent="0.25">
      <c r="A88" s="3077"/>
      <c r="B88" s="3080" t="s">
        <v>2293</v>
      </c>
      <c r="C88" s="3080"/>
      <c r="D88" s="3080"/>
      <c r="E88" s="3080"/>
      <c r="F88" s="3080"/>
      <c r="G88" s="3077"/>
      <c r="H88" s="3077"/>
      <c r="I88" s="3077"/>
      <c r="J88" s="3077"/>
      <c r="K88" s="3081"/>
      <c r="L88" s="3081"/>
      <c r="M88" s="3081"/>
      <c r="N88" s="3081"/>
      <c r="O88" s="3081"/>
      <c r="P88" s="3083">
        <f>P89+P90</f>
        <v>81860</v>
      </c>
      <c r="Q88" s="3081"/>
      <c r="R88" s="3081"/>
      <c r="S88" s="3081"/>
      <c r="T88" s="3081"/>
      <c r="U88" s="3081"/>
      <c r="V88" s="3081"/>
      <c r="W88" s="3077"/>
    </row>
    <row r="89" spans="1:23" s="1230" customFormat="1" ht="17.25" customHeight="1" x14ac:dyDescent="0.25">
      <c r="A89" s="3077"/>
      <c r="B89" s="3089" t="s">
        <v>2059</v>
      </c>
      <c r="C89" s="3080"/>
      <c r="D89" s="3080"/>
      <c r="E89" s="3080"/>
      <c r="F89" s="3080"/>
      <c r="G89" s="3077"/>
      <c r="H89" s="3077"/>
      <c r="I89" s="3077"/>
      <c r="J89" s="3077"/>
      <c r="K89" s="3081"/>
      <c r="L89" s="3081"/>
      <c r="M89" s="3081"/>
      <c r="N89" s="3081"/>
      <c r="O89" s="3081"/>
      <c r="P89" s="3083">
        <v>78860</v>
      </c>
      <c r="Q89" s="3081"/>
      <c r="R89" s="3081"/>
      <c r="S89" s="3081"/>
      <c r="T89" s="3081"/>
      <c r="U89" s="3081"/>
      <c r="V89" s="3081"/>
      <c r="W89" s="3077"/>
    </row>
    <row r="90" spans="1:23" s="1230" customFormat="1" ht="17.25" customHeight="1" x14ac:dyDescent="0.25">
      <c r="A90" s="3077"/>
      <c r="B90" s="3089" t="s">
        <v>2060</v>
      </c>
      <c r="C90" s="3080"/>
      <c r="D90" s="3080"/>
      <c r="E90" s="3080"/>
      <c r="F90" s="3080"/>
      <c r="G90" s="3077"/>
      <c r="H90" s="3077"/>
      <c r="I90" s="3077"/>
      <c r="J90" s="3077"/>
      <c r="K90" s="3081"/>
      <c r="L90" s="3081"/>
      <c r="M90" s="3081"/>
      <c r="N90" s="3081"/>
      <c r="O90" s="3081"/>
      <c r="P90" s="3083">
        <v>3000</v>
      </c>
      <c r="Q90" s="3081"/>
      <c r="R90" s="3081"/>
      <c r="S90" s="3081"/>
      <c r="T90" s="3081"/>
      <c r="U90" s="3081"/>
      <c r="V90" s="3081"/>
      <c r="W90" s="3077"/>
    </row>
    <row r="91" spans="1:23" s="1230" customFormat="1" ht="18.75" customHeight="1" x14ac:dyDescent="0.25">
      <c r="A91" s="3077"/>
      <c r="B91" s="3080" t="s">
        <v>2294</v>
      </c>
      <c r="C91" s="3080"/>
      <c r="D91" s="3080"/>
      <c r="E91" s="3080"/>
      <c r="F91" s="3080"/>
      <c r="G91" s="3077"/>
      <c r="H91" s="3077"/>
      <c r="I91" s="3077"/>
      <c r="J91" s="3077"/>
      <c r="K91" s="3081"/>
      <c r="L91" s="3081"/>
      <c r="M91" s="3081"/>
      <c r="N91" s="3081"/>
      <c r="O91" s="3081"/>
      <c r="P91" s="3083">
        <f>P92+P93</f>
        <v>69936.7</v>
      </c>
      <c r="Q91" s="3081"/>
      <c r="R91" s="3081"/>
      <c r="S91" s="3081"/>
      <c r="T91" s="3081"/>
      <c r="U91" s="3081"/>
      <c r="V91" s="3081"/>
      <c r="W91" s="3077"/>
    </row>
    <row r="92" spans="1:23" s="1230" customFormat="1" ht="17.25" customHeight="1" x14ac:dyDescent="0.25">
      <c r="A92" s="3077"/>
      <c r="B92" s="3089" t="s">
        <v>2059</v>
      </c>
      <c r="C92" s="3080"/>
      <c r="D92" s="3080"/>
      <c r="E92" s="3080"/>
      <c r="F92" s="3080"/>
      <c r="G92" s="3077"/>
      <c r="H92" s="3077"/>
      <c r="I92" s="3077"/>
      <c r="J92" s="3077"/>
      <c r="K92" s="3081"/>
      <c r="L92" s="3081"/>
      <c r="M92" s="3081"/>
      <c r="N92" s="3081"/>
      <c r="O92" s="3081"/>
      <c r="P92" s="3083">
        <v>67936.7</v>
      </c>
      <c r="Q92" s="3081"/>
      <c r="R92" s="3081"/>
      <c r="S92" s="3081"/>
      <c r="T92" s="3081"/>
      <c r="U92" s="3081"/>
      <c r="V92" s="3081"/>
      <c r="W92" s="3077"/>
    </row>
    <row r="93" spans="1:23" s="1230" customFormat="1" ht="17.25" customHeight="1" x14ac:dyDescent="0.25">
      <c r="A93" s="3077"/>
      <c r="B93" s="3089" t="s">
        <v>2060</v>
      </c>
      <c r="C93" s="3080"/>
      <c r="D93" s="3080"/>
      <c r="E93" s="3080"/>
      <c r="F93" s="3080"/>
      <c r="G93" s="3077"/>
      <c r="H93" s="3077"/>
      <c r="I93" s="3077"/>
      <c r="J93" s="3077"/>
      <c r="K93" s="3081"/>
      <c r="L93" s="3081"/>
      <c r="M93" s="3081"/>
      <c r="N93" s="3081"/>
      <c r="O93" s="3081"/>
      <c r="P93" s="3083">
        <v>2000</v>
      </c>
      <c r="Q93" s="3081"/>
      <c r="R93" s="3081"/>
      <c r="S93" s="3081"/>
      <c r="T93" s="3081"/>
      <c r="U93" s="3081"/>
      <c r="V93" s="3081"/>
      <c r="W93" s="3077"/>
    </row>
    <row r="94" spans="1:23" s="2851" customFormat="1" ht="47.25" customHeight="1" x14ac:dyDescent="0.25">
      <c r="A94" s="3071" t="s">
        <v>1250</v>
      </c>
      <c r="B94" s="3078" t="s">
        <v>2296</v>
      </c>
      <c r="C94" s="3078"/>
      <c r="D94" s="3078"/>
      <c r="E94" s="3078"/>
      <c r="F94" s="3078"/>
      <c r="G94" s="3071"/>
      <c r="H94" s="3071"/>
      <c r="I94" s="3071"/>
      <c r="J94" s="3071"/>
      <c r="K94" s="3075"/>
      <c r="L94" s="3075"/>
      <c r="M94" s="3075"/>
      <c r="N94" s="3075"/>
      <c r="O94" s="3075"/>
      <c r="P94" s="3079">
        <f>SUM(P95,P98)</f>
        <v>1360117.56</v>
      </c>
      <c r="Q94" s="3075"/>
      <c r="R94" s="3075"/>
      <c r="S94" s="3075"/>
      <c r="T94" s="3075"/>
      <c r="U94" s="3075"/>
      <c r="V94" s="3075"/>
      <c r="W94" s="3071"/>
    </row>
    <row r="95" spans="1:23" s="1230" customFormat="1" ht="67.5" customHeight="1" x14ac:dyDescent="0.25">
      <c r="A95" s="3077"/>
      <c r="B95" s="3080" t="s">
        <v>2295</v>
      </c>
      <c r="C95" s="3080"/>
      <c r="D95" s="3080"/>
      <c r="E95" s="3080"/>
      <c r="F95" s="3080"/>
      <c r="G95" s="3077"/>
      <c r="H95" s="3077"/>
      <c r="I95" s="3077"/>
      <c r="J95" s="3077"/>
      <c r="K95" s="3081"/>
      <c r="L95" s="3081"/>
      <c r="M95" s="3081"/>
      <c r="N95" s="3081"/>
      <c r="O95" s="3081"/>
      <c r="P95" s="3083">
        <f>P96+P97</f>
        <v>1293630</v>
      </c>
      <c r="Q95" s="3081"/>
      <c r="R95" s="3081"/>
      <c r="S95" s="3081"/>
      <c r="T95" s="3081"/>
      <c r="U95" s="3081"/>
      <c r="V95" s="3081"/>
      <c r="W95" s="3077"/>
    </row>
    <row r="96" spans="1:23" s="1230" customFormat="1" ht="17.25" customHeight="1" x14ac:dyDescent="0.25">
      <c r="A96" s="3077"/>
      <c r="B96" s="3089" t="s">
        <v>2059</v>
      </c>
      <c r="C96" s="3080"/>
      <c r="D96" s="3080"/>
      <c r="E96" s="3080"/>
      <c r="F96" s="3080"/>
      <c r="G96" s="3077"/>
      <c r="H96" s="3077"/>
      <c r="I96" s="3077"/>
      <c r="J96" s="3077"/>
      <c r="K96" s="3081"/>
      <c r="L96" s="3081"/>
      <c r="M96" s="3081"/>
      <c r="N96" s="3081"/>
      <c r="O96" s="3081"/>
      <c r="P96" s="3083">
        <v>1254360.5</v>
      </c>
      <c r="Q96" s="3081"/>
      <c r="R96" s="3081"/>
      <c r="S96" s="3081"/>
      <c r="T96" s="3081"/>
      <c r="U96" s="3081"/>
      <c r="V96" s="3081"/>
      <c r="W96" s="3077"/>
    </row>
    <row r="97" spans="1:23" s="1230" customFormat="1" ht="17.25" customHeight="1" x14ac:dyDescent="0.25">
      <c r="A97" s="3077"/>
      <c r="B97" s="3089" t="s">
        <v>2060</v>
      </c>
      <c r="C97" s="3080"/>
      <c r="D97" s="3080"/>
      <c r="E97" s="3080"/>
      <c r="F97" s="3080"/>
      <c r="G97" s="3077"/>
      <c r="H97" s="3077"/>
      <c r="I97" s="3077"/>
      <c r="J97" s="3077"/>
      <c r="K97" s="3081"/>
      <c r="L97" s="3081"/>
      <c r="M97" s="3081"/>
      <c r="N97" s="3081"/>
      <c r="O97" s="3081"/>
      <c r="P97" s="3083">
        <v>39269.5</v>
      </c>
      <c r="Q97" s="3081"/>
      <c r="R97" s="3081"/>
      <c r="S97" s="3081"/>
      <c r="T97" s="3081"/>
      <c r="U97" s="3081"/>
      <c r="V97" s="3081"/>
      <c r="W97" s="3077"/>
    </row>
    <row r="98" spans="1:23" s="1230" customFormat="1" ht="140.25" customHeight="1" x14ac:dyDescent="0.25">
      <c r="A98" s="3077"/>
      <c r="B98" s="3080" t="s">
        <v>2297</v>
      </c>
      <c r="C98" s="3080"/>
      <c r="D98" s="3080"/>
      <c r="E98" s="3080"/>
      <c r="F98" s="3080"/>
      <c r="G98" s="3077"/>
      <c r="H98" s="3077"/>
      <c r="I98" s="3077"/>
      <c r="J98" s="3077"/>
      <c r="K98" s="3081"/>
      <c r="L98" s="3081"/>
      <c r="M98" s="3081"/>
      <c r="N98" s="3081"/>
      <c r="O98" s="3081"/>
      <c r="P98" s="3083">
        <f>P99+P100</f>
        <v>66487.56</v>
      </c>
      <c r="Q98" s="3081"/>
      <c r="R98" s="3081"/>
      <c r="S98" s="3081"/>
      <c r="T98" s="3081"/>
      <c r="U98" s="3081"/>
      <c r="V98" s="3081"/>
      <c r="W98" s="3077"/>
    </row>
    <row r="99" spans="1:23" s="1230" customFormat="1" ht="17.25" customHeight="1" x14ac:dyDescent="0.25">
      <c r="A99" s="3077"/>
      <c r="B99" s="3089" t="s">
        <v>2059</v>
      </c>
      <c r="C99" s="3080"/>
      <c r="D99" s="3080"/>
      <c r="E99" s="3080"/>
      <c r="F99" s="3080"/>
      <c r="G99" s="3077"/>
      <c r="H99" s="3077"/>
      <c r="I99" s="3077"/>
      <c r="J99" s="3077"/>
      <c r="K99" s="3081"/>
      <c r="L99" s="3081"/>
      <c r="M99" s="3081"/>
      <c r="N99" s="3081"/>
      <c r="O99" s="3081"/>
      <c r="P99" s="3083">
        <v>61487.56</v>
      </c>
      <c r="Q99" s="3081"/>
      <c r="R99" s="3081"/>
      <c r="S99" s="3081"/>
      <c r="T99" s="3081"/>
      <c r="U99" s="3081"/>
      <c r="V99" s="3081"/>
      <c r="W99" s="3077"/>
    </row>
    <row r="100" spans="1:23" s="1230" customFormat="1" ht="17.25" customHeight="1" x14ac:dyDescent="0.25">
      <c r="A100" s="3077"/>
      <c r="B100" s="3089" t="s">
        <v>2060</v>
      </c>
      <c r="C100" s="3080"/>
      <c r="D100" s="3080"/>
      <c r="E100" s="3080"/>
      <c r="F100" s="3080"/>
      <c r="G100" s="3077"/>
      <c r="H100" s="3077"/>
      <c r="I100" s="3077"/>
      <c r="J100" s="3077"/>
      <c r="K100" s="3081"/>
      <c r="L100" s="3081"/>
      <c r="M100" s="3081"/>
      <c r="N100" s="3081"/>
      <c r="O100" s="3081"/>
      <c r="P100" s="3083">
        <v>5000</v>
      </c>
      <c r="Q100" s="3081"/>
      <c r="R100" s="3081"/>
      <c r="S100" s="3081"/>
      <c r="T100" s="3081"/>
      <c r="U100" s="3081"/>
      <c r="V100" s="3081"/>
      <c r="W100" s="3077"/>
    </row>
    <row r="101" spans="1:23" s="2851" customFormat="1" ht="33.75" customHeight="1" x14ac:dyDescent="0.25">
      <c r="A101" s="3071" t="s">
        <v>1251</v>
      </c>
      <c r="B101" s="3078" t="s">
        <v>2298</v>
      </c>
      <c r="C101" s="3078"/>
      <c r="D101" s="3078"/>
      <c r="E101" s="3078"/>
      <c r="F101" s="3078"/>
      <c r="G101" s="3071"/>
      <c r="H101" s="3071"/>
      <c r="I101" s="3071"/>
      <c r="J101" s="3071"/>
      <c r="K101" s="3075"/>
      <c r="L101" s="3075"/>
      <c r="M101" s="3075"/>
      <c r="N101" s="3075"/>
      <c r="O101" s="3075"/>
      <c r="P101" s="3079">
        <f>P102</f>
        <v>183570</v>
      </c>
      <c r="Q101" s="3075"/>
      <c r="R101" s="3075"/>
      <c r="S101" s="3075"/>
      <c r="T101" s="3075"/>
      <c r="U101" s="3075"/>
      <c r="V101" s="3075"/>
      <c r="W101" s="3071"/>
    </row>
    <row r="102" spans="1:23" s="1230" customFormat="1" ht="87.75" customHeight="1" x14ac:dyDescent="0.25">
      <c r="A102" s="3077"/>
      <c r="B102" s="3080" t="s">
        <v>2299</v>
      </c>
      <c r="C102" s="3080"/>
      <c r="D102" s="3080"/>
      <c r="E102" s="3080"/>
      <c r="F102" s="3080"/>
      <c r="G102" s="3077"/>
      <c r="H102" s="3077"/>
      <c r="I102" s="3077"/>
      <c r="J102" s="3077"/>
      <c r="K102" s="3081"/>
      <c r="L102" s="3081"/>
      <c r="M102" s="3081"/>
      <c r="N102" s="3081"/>
      <c r="O102" s="3081"/>
      <c r="P102" s="3083">
        <f>P103+P104</f>
        <v>183570</v>
      </c>
      <c r="Q102" s="3081"/>
      <c r="R102" s="3081"/>
      <c r="S102" s="3081"/>
      <c r="T102" s="3081"/>
      <c r="U102" s="3081"/>
      <c r="V102" s="3081"/>
      <c r="W102" s="3077"/>
    </row>
    <row r="103" spans="1:23" s="1230" customFormat="1" ht="17.25" customHeight="1" x14ac:dyDescent="0.25">
      <c r="A103" s="3077"/>
      <c r="B103" s="3089" t="s">
        <v>2059</v>
      </c>
      <c r="C103" s="3080"/>
      <c r="D103" s="3080"/>
      <c r="E103" s="3080"/>
      <c r="F103" s="3080"/>
      <c r="G103" s="3077"/>
      <c r="H103" s="3077"/>
      <c r="I103" s="3077"/>
      <c r="J103" s="3077"/>
      <c r="K103" s="3081"/>
      <c r="L103" s="3081"/>
      <c r="M103" s="3081"/>
      <c r="N103" s="3081"/>
      <c r="O103" s="3081"/>
      <c r="P103" s="3083">
        <v>169570</v>
      </c>
      <c r="Q103" s="3081"/>
      <c r="R103" s="3081"/>
      <c r="S103" s="3081"/>
      <c r="T103" s="3081"/>
      <c r="U103" s="3081"/>
      <c r="V103" s="3081"/>
      <c r="W103" s="3077"/>
    </row>
    <row r="104" spans="1:23" s="1230" customFormat="1" ht="17.25" customHeight="1" x14ac:dyDescent="0.25">
      <c r="A104" s="3077"/>
      <c r="B104" s="3089" t="s">
        <v>2060</v>
      </c>
      <c r="C104" s="3080"/>
      <c r="D104" s="3080"/>
      <c r="E104" s="3080"/>
      <c r="F104" s="3080"/>
      <c r="G104" s="3077"/>
      <c r="H104" s="3077"/>
      <c r="I104" s="3077"/>
      <c r="J104" s="3077"/>
      <c r="K104" s="3081"/>
      <c r="L104" s="3081"/>
      <c r="M104" s="3081"/>
      <c r="N104" s="3081"/>
      <c r="O104" s="3081"/>
      <c r="P104" s="3083">
        <v>14000</v>
      </c>
      <c r="Q104" s="3081"/>
      <c r="R104" s="3081"/>
      <c r="S104" s="3081"/>
      <c r="T104" s="3081"/>
      <c r="U104" s="3081"/>
      <c r="V104" s="3081"/>
      <c r="W104" s="3077"/>
    </row>
    <row r="105" spans="1:23" ht="19.5" customHeight="1" x14ac:dyDescent="0.2">
      <c r="A105" s="1231"/>
      <c r="B105" s="168" t="s">
        <v>1038</v>
      </c>
    </row>
    <row r="106" spans="1:23" ht="39.75" customHeight="1" x14ac:dyDescent="0.2">
      <c r="A106" s="1231"/>
      <c r="B106" s="3315" t="s">
        <v>1069</v>
      </c>
      <c r="C106" s="3315"/>
      <c r="D106" s="3315"/>
      <c r="E106" s="3315"/>
      <c r="F106" s="3315"/>
      <c r="G106" s="3315"/>
      <c r="H106" s="3315"/>
      <c r="I106" s="3315"/>
      <c r="J106" s="3315"/>
      <c r="K106" s="3315"/>
      <c r="L106" s="3315"/>
      <c r="M106" s="3315"/>
      <c r="N106" s="3315"/>
      <c r="O106" s="3315"/>
      <c r="P106" s="3315"/>
      <c r="Q106" s="3315"/>
      <c r="R106" s="3315"/>
      <c r="S106" s="3315"/>
      <c r="T106" s="3315"/>
      <c r="U106" s="3315"/>
      <c r="V106" s="3315"/>
      <c r="W106" s="3315"/>
    </row>
    <row r="107" spans="1:23" x14ac:dyDescent="0.2">
      <c r="A107" s="1231"/>
    </row>
  </sheetData>
  <mergeCells count="20">
    <mergeCell ref="B106:W106"/>
    <mergeCell ref="W5:W7"/>
    <mergeCell ref="C6:C7"/>
    <mergeCell ref="D6:E6"/>
    <mergeCell ref="F6:G6"/>
    <mergeCell ref="H6:I6"/>
    <mergeCell ref="J6:J7"/>
    <mergeCell ref="K6:L6"/>
    <mergeCell ref="M6:N6"/>
    <mergeCell ref="O6:P6"/>
    <mergeCell ref="B5:B7"/>
    <mergeCell ref="C5:I5"/>
    <mergeCell ref="J5:P5"/>
    <mergeCell ref="Q5:V5"/>
    <mergeCell ref="A5:A7"/>
    <mergeCell ref="A1:B1"/>
    <mergeCell ref="V1:W1"/>
    <mergeCell ref="A2:W2"/>
    <mergeCell ref="A3:W3"/>
    <mergeCell ref="V4:W4"/>
  </mergeCells>
  <pageMargins left="0.7" right="0.7" top="0.59" bottom="0.75" header="0.3" footer="0.3"/>
  <pageSetup paperSize="9" scale="62" firstPageNumber="75" orientation="portrait" useFirstPageNumber="1" verticalDpi="0" r:id="rId1"/>
  <headerFooter>
    <oddFooter>&amp;C&amp;P</oddFooter>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480BD-6678-4E42-A1B3-B8D4085E5D26}">
  <sheetPr>
    <tabColor theme="3" tint="0.39997558519241921"/>
  </sheetPr>
  <dimension ref="A1:J70"/>
  <sheetViews>
    <sheetView view="pageBreakPreview" zoomScale="90" zoomScaleNormal="100" zoomScaleSheetLayoutView="90" workbookViewId="0">
      <pane xSplit="2" ySplit="6" topLeftCell="C54" activePane="bottomRight" state="frozen"/>
      <selection pane="topRight" activeCell="C1" sqref="C1"/>
      <selection pane="bottomLeft" activeCell="A7" sqref="A7"/>
      <selection pane="bottomRight" activeCell="A61" sqref="A61:XFD70"/>
    </sheetView>
  </sheetViews>
  <sheetFormatPr defaultRowHeight="15.75" x14ac:dyDescent="0.25"/>
  <cols>
    <col min="1" max="1" width="6.85546875" style="1208" customWidth="1"/>
    <col min="2" max="2" width="39.5703125" style="1208" customWidth="1"/>
    <col min="3" max="3" width="16.140625" style="2351" customWidth="1"/>
    <col min="4" max="4" width="16.140625" style="2357" customWidth="1"/>
    <col min="5" max="5" width="14.42578125" style="2358" customWidth="1"/>
    <col min="6" max="6" width="17.42578125" style="1208" customWidth="1"/>
    <col min="7" max="7" width="18.7109375" style="1208" hidden="1" customWidth="1"/>
    <col min="8" max="256" width="9.140625" style="1208"/>
    <col min="257" max="257" width="6.85546875" style="1208" customWidth="1"/>
    <col min="258" max="258" width="39.5703125" style="1208" customWidth="1"/>
    <col min="259" max="260" width="10.7109375" style="1208" customWidth="1"/>
    <col min="261" max="261" width="13.140625" style="1208" customWidth="1"/>
    <col min="262" max="262" width="17.42578125" style="1208" customWidth="1"/>
    <col min="263" max="512" width="9.140625" style="1208"/>
    <col min="513" max="513" width="6.85546875" style="1208" customWidth="1"/>
    <col min="514" max="514" width="39.5703125" style="1208" customWidth="1"/>
    <col min="515" max="516" width="10.7109375" style="1208" customWidth="1"/>
    <col min="517" max="517" width="13.140625" style="1208" customWidth="1"/>
    <col min="518" max="518" width="17.42578125" style="1208" customWidth="1"/>
    <col min="519" max="768" width="9.140625" style="1208"/>
    <col min="769" max="769" width="6.85546875" style="1208" customWidth="1"/>
    <col min="770" max="770" width="39.5703125" style="1208" customWidth="1"/>
    <col min="771" max="772" width="10.7109375" style="1208" customWidth="1"/>
    <col min="773" max="773" width="13.140625" style="1208" customWidth="1"/>
    <col min="774" max="774" width="17.42578125" style="1208" customWidth="1"/>
    <col min="775" max="1024" width="9.140625" style="1208"/>
    <col min="1025" max="1025" width="6.85546875" style="1208" customWidth="1"/>
    <col min="1026" max="1026" width="39.5703125" style="1208" customWidth="1"/>
    <col min="1027" max="1028" width="10.7109375" style="1208" customWidth="1"/>
    <col min="1029" max="1029" width="13.140625" style="1208" customWidth="1"/>
    <col min="1030" max="1030" width="17.42578125" style="1208" customWidth="1"/>
    <col min="1031" max="1280" width="9.140625" style="1208"/>
    <col min="1281" max="1281" width="6.85546875" style="1208" customWidth="1"/>
    <col min="1282" max="1282" width="39.5703125" style="1208" customWidth="1"/>
    <col min="1283" max="1284" width="10.7109375" style="1208" customWidth="1"/>
    <col min="1285" max="1285" width="13.140625" style="1208" customWidth="1"/>
    <col min="1286" max="1286" width="17.42578125" style="1208" customWidth="1"/>
    <col min="1287" max="1536" width="9.140625" style="1208"/>
    <col min="1537" max="1537" width="6.85546875" style="1208" customWidth="1"/>
    <col min="1538" max="1538" width="39.5703125" style="1208" customWidth="1"/>
    <col min="1539" max="1540" width="10.7109375" style="1208" customWidth="1"/>
    <col min="1541" max="1541" width="13.140625" style="1208" customWidth="1"/>
    <col min="1542" max="1542" width="17.42578125" style="1208" customWidth="1"/>
    <col min="1543" max="1792" width="9.140625" style="1208"/>
    <col min="1793" max="1793" width="6.85546875" style="1208" customWidth="1"/>
    <col min="1794" max="1794" width="39.5703125" style="1208" customWidth="1"/>
    <col min="1795" max="1796" width="10.7109375" style="1208" customWidth="1"/>
    <col min="1797" max="1797" width="13.140625" style="1208" customWidth="1"/>
    <col min="1798" max="1798" width="17.42578125" style="1208" customWidth="1"/>
    <col min="1799" max="2048" width="9.140625" style="1208"/>
    <col min="2049" max="2049" width="6.85546875" style="1208" customWidth="1"/>
    <col min="2050" max="2050" width="39.5703125" style="1208" customWidth="1"/>
    <col min="2051" max="2052" width="10.7109375" style="1208" customWidth="1"/>
    <col min="2053" max="2053" width="13.140625" style="1208" customWidth="1"/>
    <col min="2054" max="2054" width="17.42578125" style="1208" customWidth="1"/>
    <col min="2055" max="2304" width="9.140625" style="1208"/>
    <col min="2305" max="2305" width="6.85546875" style="1208" customWidth="1"/>
    <col min="2306" max="2306" width="39.5703125" style="1208" customWidth="1"/>
    <col min="2307" max="2308" width="10.7109375" style="1208" customWidth="1"/>
    <col min="2309" max="2309" width="13.140625" style="1208" customWidth="1"/>
    <col min="2310" max="2310" width="17.42578125" style="1208" customWidth="1"/>
    <col min="2311" max="2560" width="9.140625" style="1208"/>
    <col min="2561" max="2561" width="6.85546875" style="1208" customWidth="1"/>
    <col min="2562" max="2562" width="39.5703125" style="1208" customWidth="1"/>
    <col min="2563" max="2564" width="10.7109375" style="1208" customWidth="1"/>
    <col min="2565" max="2565" width="13.140625" style="1208" customWidth="1"/>
    <col min="2566" max="2566" width="17.42578125" style="1208" customWidth="1"/>
    <col min="2567" max="2816" width="9.140625" style="1208"/>
    <col min="2817" max="2817" width="6.85546875" style="1208" customWidth="1"/>
    <col min="2818" max="2818" width="39.5703125" style="1208" customWidth="1"/>
    <col min="2819" max="2820" width="10.7109375" style="1208" customWidth="1"/>
    <col min="2821" max="2821" width="13.140625" style="1208" customWidth="1"/>
    <col min="2822" max="2822" width="17.42578125" style="1208" customWidth="1"/>
    <col min="2823" max="3072" width="9.140625" style="1208"/>
    <col min="3073" max="3073" width="6.85546875" style="1208" customWidth="1"/>
    <col min="3074" max="3074" width="39.5703125" style="1208" customWidth="1"/>
    <col min="3075" max="3076" width="10.7109375" style="1208" customWidth="1"/>
    <col min="3077" max="3077" width="13.140625" style="1208" customWidth="1"/>
    <col min="3078" max="3078" width="17.42578125" style="1208" customWidth="1"/>
    <col min="3079" max="3328" width="9.140625" style="1208"/>
    <col min="3329" max="3329" width="6.85546875" style="1208" customWidth="1"/>
    <col min="3330" max="3330" width="39.5703125" style="1208" customWidth="1"/>
    <col min="3331" max="3332" width="10.7109375" style="1208" customWidth="1"/>
    <col min="3333" max="3333" width="13.140625" style="1208" customWidth="1"/>
    <col min="3334" max="3334" width="17.42578125" style="1208" customWidth="1"/>
    <col min="3335" max="3584" width="9.140625" style="1208"/>
    <col min="3585" max="3585" width="6.85546875" style="1208" customWidth="1"/>
    <col min="3586" max="3586" width="39.5703125" style="1208" customWidth="1"/>
    <col min="3587" max="3588" width="10.7109375" style="1208" customWidth="1"/>
    <col min="3589" max="3589" width="13.140625" style="1208" customWidth="1"/>
    <col min="3590" max="3590" width="17.42578125" style="1208" customWidth="1"/>
    <col min="3591" max="3840" width="9.140625" style="1208"/>
    <col min="3841" max="3841" width="6.85546875" style="1208" customWidth="1"/>
    <col min="3842" max="3842" width="39.5703125" style="1208" customWidth="1"/>
    <col min="3843" max="3844" width="10.7109375" style="1208" customWidth="1"/>
    <col min="3845" max="3845" width="13.140625" style="1208" customWidth="1"/>
    <col min="3846" max="3846" width="17.42578125" style="1208" customWidth="1"/>
    <col min="3847" max="4096" width="9.140625" style="1208"/>
    <col min="4097" max="4097" width="6.85546875" style="1208" customWidth="1"/>
    <col min="4098" max="4098" width="39.5703125" style="1208" customWidth="1"/>
    <col min="4099" max="4100" width="10.7109375" style="1208" customWidth="1"/>
    <col min="4101" max="4101" width="13.140625" style="1208" customWidth="1"/>
    <col min="4102" max="4102" width="17.42578125" style="1208" customWidth="1"/>
    <col min="4103" max="4352" width="9.140625" style="1208"/>
    <col min="4353" max="4353" width="6.85546875" style="1208" customWidth="1"/>
    <col min="4354" max="4354" width="39.5703125" style="1208" customWidth="1"/>
    <col min="4355" max="4356" width="10.7109375" style="1208" customWidth="1"/>
    <col min="4357" max="4357" width="13.140625" style="1208" customWidth="1"/>
    <col min="4358" max="4358" width="17.42578125" style="1208" customWidth="1"/>
    <col min="4359" max="4608" width="9.140625" style="1208"/>
    <col min="4609" max="4609" width="6.85546875" style="1208" customWidth="1"/>
    <col min="4610" max="4610" width="39.5703125" style="1208" customWidth="1"/>
    <col min="4611" max="4612" width="10.7109375" style="1208" customWidth="1"/>
    <col min="4613" max="4613" width="13.140625" style="1208" customWidth="1"/>
    <col min="4614" max="4614" width="17.42578125" style="1208" customWidth="1"/>
    <col min="4615" max="4864" width="9.140625" style="1208"/>
    <col min="4865" max="4865" width="6.85546875" style="1208" customWidth="1"/>
    <col min="4866" max="4866" width="39.5703125" style="1208" customWidth="1"/>
    <col min="4867" max="4868" width="10.7109375" style="1208" customWidth="1"/>
    <col min="4869" max="4869" width="13.140625" style="1208" customWidth="1"/>
    <col min="4870" max="4870" width="17.42578125" style="1208" customWidth="1"/>
    <col min="4871" max="5120" width="9.140625" style="1208"/>
    <col min="5121" max="5121" width="6.85546875" style="1208" customWidth="1"/>
    <col min="5122" max="5122" width="39.5703125" style="1208" customWidth="1"/>
    <col min="5123" max="5124" width="10.7109375" style="1208" customWidth="1"/>
    <col min="5125" max="5125" width="13.140625" style="1208" customWidth="1"/>
    <col min="5126" max="5126" width="17.42578125" style="1208" customWidth="1"/>
    <col min="5127" max="5376" width="9.140625" style="1208"/>
    <col min="5377" max="5377" width="6.85546875" style="1208" customWidth="1"/>
    <col min="5378" max="5378" width="39.5703125" style="1208" customWidth="1"/>
    <col min="5379" max="5380" width="10.7109375" style="1208" customWidth="1"/>
    <col min="5381" max="5381" width="13.140625" style="1208" customWidth="1"/>
    <col min="5382" max="5382" width="17.42578125" style="1208" customWidth="1"/>
    <col min="5383" max="5632" width="9.140625" style="1208"/>
    <col min="5633" max="5633" width="6.85546875" style="1208" customWidth="1"/>
    <col min="5634" max="5634" width="39.5703125" style="1208" customWidth="1"/>
    <col min="5635" max="5636" width="10.7109375" style="1208" customWidth="1"/>
    <col min="5637" max="5637" width="13.140625" style="1208" customWidth="1"/>
    <col min="5638" max="5638" width="17.42578125" style="1208" customWidth="1"/>
    <col min="5639" max="5888" width="9.140625" style="1208"/>
    <col min="5889" max="5889" width="6.85546875" style="1208" customWidth="1"/>
    <col min="5890" max="5890" width="39.5703125" style="1208" customWidth="1"/>
    <col min="5891" max="5892" width="10.7109375" style="1208" customWidth="1"/>
    <col min="5893" max="5893" width="13.140625" style="1208" customWidth="1"/>
    <col min="5894" max="5894" width="17.42578125" style="1208" customWidth="1"/>
    <col min="5895" max="6144" width="9.140625" style="1208"/>
    <col min="6145" max="6145" width="6.85546875" style="1208" customWidth="1"/>
    <col min="6146" max="6146" width="39.5703125" style="1208" customWidth="1"/>
    <col min="6147" max="6148" width="10.7109375" style="1208" customWidth="1"/>
    <col min="6149" max="6149" width="13.140625" style="1208" customWidth="1"/>
    <col min="6150" max="6150" width="17.42578125" style="1208" customWidth="1"/>
    <col min="6151" max="6400" width="9.140625" style="1208"/>
    <col min="6401" max="6401" width="6.85546875" style="1208" customWidth="1"/>
    <col min="6402" max="6402" width="39.5703125" style="1208" customWidth="1"/>
    <col min="6403" max="6404" width="10.7109375" style="1208" customWidth="1"/>
    <col min="6405" max="6405" width="13.140625" style="1208" customWidth="1"/>
    <col min="6406" max="6406" width="17.42578125" style="1208" customWidth="1"/>
    <col min="6407" max="6656" width="9.140625" style="1208"/>
    <col min="6657" max="6657" width="6.85546875" style="1208" customWidth="1"/>
    <col min="6658" max="6658" width="39.5703125" style="1208" customWidth="1"/>
    <col min="6659" max="6660" width="10.7109375" style="1208" customWidth="1"/>
    <col min="6661" max="6661" width="13.140625" style="1208" customWidth="1"/>
    <col min="6662" max="6662" width="17.42578125" style="1208" customWidth="1"/>
    <col min="6663" max="6912" width="9.140625" style="1208"/>
    <col min="6913" max="6913" width="6.85546875" style="1208" customWidth="1"/>
    <col min="6914" max="6914" width="39.5703125" style="1208" customWidth="1"/>
    <col min="6915" max="6916" width="10.7109375" style="1208" customWidth="1"/>
    <col min="6917" max="6917" width="13.140625" style="1208" customWidth="1"/>
    <col min="6918" max="6918" width="17.42578125" style="1208" customWidth="1"/>
    <col min="6919" max="7168" width="9.140625" style="1208"/>
    <col min="7169" max="7169" width="6.85546875" style="1208" customWidth="1"/>
    <col min="7170" max="7170" width="39.5703125" style="1208" customWidth="1"/>
    <col min="7171" max="7172" width="10.7109375" style="1208" customWidth="1"/>
    <col min="7173" max="7173" width="13.140625" style="1208" customWidth="1"/>
    <col min="7174" max="7174" width="17.42578125" style="1208" customWidth="1"/>
    <col min="7175" max="7424" width="9.140625" style="1208"/>
    <col min="7425" max="7425" width="6.85546875" style="1208" customWidth="1"/>
    <col min="7426" max="7426" width="39.5703125" style="1208" customWidth="1"/>
    <col min="7427" max="7428" width="10.7109375" style="1208" customWidth="1"/>
    <col min="7429" max="7429" width="13.140625" style="1208" customWidth="1"/>
    <col min="7430" max="7430" width="17.42578125" style="1208" customWidth="1"/>
    <col min="7431" max="7680" width="9.140625" style="1208"/>
    <col min="7681" max="7681" width="6.85546875" style="1208" customWidth="1"/>
    <col min="7682" max="7682" width="39.5703125" style="1208" customWidth="1"/>
    <col min="7683" max="7684" width="10.7109375" style="1208" customWidth="1"/>
    <col min="7685" max="7685" width="13.140625" style="1208" customWidth="1"/>
    <col min="7686" max="7686" width="17.42578125" style="1208" customWidth="1"/>
    <col min="7687" max="7936" width="9.140625" style="1208"/>
    <col min="7937" max="7937" width="6.85546875" style="1208" customWidth="1"/>
    <col min="7938" max="7938" width="39.5703125" style="1208" customWidth="1"/>
    <col min="7939" max="7940" width="10.7109375" style="1208" customWidth="1"/>
    <col min="7941" max="7941" width="13.140625" style="1208" customWidth="1"/>
    <col min="7942" max="7942" width="17.42578125" style="1208" customWidth="1"/>
    <col min="7943" max="8192" width="9.140625" style="1208"/>
    <col min="8193" max="8193" width="6.85546875" style="1208" customWidth="1"/>
    <col min="8194" max="8194" width="39.5703125" style="1208" customWidth="1"/>
    <col min="8195" max="8196" width="10.7109375" style="1208" customWidth="1"/>
    <col min="8197" max="8197" width="13.140625" style="1208" customWidth="1"/>
    <col min="8198" max="8198" width="17.42578125" style="1208" customWidth="1"/>
    <col min="8199" max="8448" width="9.140625" style="1208"/>
    <col min="8449" max="8449" width="6.85546875" style="1208" customWidth="1"/>
    <col min="8450" max="8450" width="39.5703125" style="1208" customWidth="1"/>
    <col min="8451" max="8452" width="10.7109375" style="1208" customWidth="1"/>
    <col min="8453" max="8453" width="13.140625" style="1208" customWidth="1"/>
    <col min="8454" max="8454" width="17.42578125" style="1208" customWidth="1"/>
    <col min="8455" max="8704" width="9.140625" style="1208"/>
    <col min="8705" max="8705" width="6.85546875" style="1208" customWidth="1"/>
    <col min="8706" max="8706" width="39.5703125" style="1208" customWidth="1"/>
    <col min="8707" max="8708" width="10.7109375" style="1208" customWidth="1"/>
    <col min="8709" max="8709" width="13.140625" style="1208" customWidth="1"/>
    <col min="8710" max="8710" width="17.42578125" style="1208" customWidth="1"/>
    <col min="8711" max="8960" width="9.140625" style="1208"/>
    <col min="8961" max="8961" width="6.85546875" style="1208" customWidth="1"/>
    <col min="8962" max="8962" width="39.5703125" style="1208" customWidth="1"/>
    <col min="8963" max="8964" width="10.7109375" style="1208" customWidth="1"/>
    <col min="8965" max="8965" width="13.140625" style="1208" customWidth="1"/>
    <col min="8966" max="8966" width="17.42578125" style="1208" customWidth="1"/>
    <col min="8967" max="9216" width="9.140625" style="1208"/>
    <col min="9217" max="9217" width="6.85546875" style="1208" customWidth="1"/>
    <col min="9218" max="9218" width="39.5703125" style="1208" customWidth="1"/>
    <col min="9219" max="9220" width="10.7109375" style="1208" customWidth="1"/>
    <col min="9221" max="9221" width="13.140625" style="1208" customWidth="1"/>
    <col min="9222" max="9222" width="17.42578125" style="1208" customWidth="1"/>
    <col min="9223" max="9472" width="9.140625" style="1208"/>
    <col min="9473" max="9473" width="6.85546875" style="1208" customWidth="1"/>
    <col min="9474" max="9474" width="39.5703125" style="1208" customWidth="1"/>
    <col min="9475" max="9476" width="10.7109375" style="1208" customWidth="1"/>
    <col min="9477" max="9477" width="13.140625" style="1208" customWidth="1"/>
    <col min="9478" max="9478" width="17.42578125" style="1208" customWidth="1"/>
    <col min="9479" max="9728" width="9.140625" style="1208"/>
    <col min="9729" max="9729" width="6.85546875" style="1208" customWidth="1"/>
    <col min="9730" max="9730" width="39.5703125" style="1208" customWidth="1"/>
    <col min="9731" max="9732" width="10.7109375" style="1208" customWidth="1"/>
    <col min="9733" max="9733" width="13.140625" style="1208" customWidth="1"/>
    <col min="9734" max="9734" width="17.42578125" style="1208" customWidth="1"/>
    <col min="9735" max="9984" width="9.140625" style="1208"/>
    <col min="9985" max="9985" width="6.85546875" style="1208" customWidth="1"/>
    <col min="9986" max="9986" width="39.5703125" style="1208" customWidth="1"/>
    <col min="9987" max="9988" width="10.7109375" style="1208" customWidth="1"/>
    <col min="9989" max="9989" width="13.140625" style="1208" customWidth="1"/>
    <col min="9990" max="9990" width="17.42578125" style="1208" customWidth="1"/>
    <col min="9991" max="10240" width="9.140625" style="1208"/>
    <col min="10241" max="10241" width="6.85546875" style="1208" customWidth="1"/>
    <col min="10242" max="10242" width="39.5703125" style="1208" customWidth="1"/>
    <col min="10243" max="10244" width="10.7109375" style="1208" customWidth="1"/>
    <col min="10245" max="10245" width="13.140625" style="1208" customWidth="1"/>
    <col min="10246" max="10246" width="17.42578125" style="1208" customWidth="1"/>
    <col min="10247" max="10496" width="9.140625" style="1208"/>
    <col min="10497" max="10497" width="6.85546875" style="1208" customWidth="1"/>
    <col min="10498" max="10498" width="39.5703125" style="1208" customWidth="1"/>
    <col min="10499" max="10500" width="10.7109375" style="1208" customWidth="1"/>
    <col min="10501" max="10501" width="13.140625" style="1208" customWidth="1"/>
    <col min="10502" max="10502" width="17.42578125" style="1208" customWidth="1"/>
    <col min="10503" max="10752" width="9.140625" style="1208"/>
    <col min="10753" max="10753" width="6.85546875" style="1208" customWidth="1"/>
    <col min="10754" max="10754" width="39.5703125" style="1208" customWidth="1"/>
    <col min="10755" max="10756" width="10.7109375" style="1208" customWidth="1"/>
    <col min="10757" max="10757" width="13.140625" style="1208" customWidth="1"/>
    <col min="10758" max="10758" width="17.42578125" style="1208" customWidth="1"/>
    <col min="10759" max="11008" width="9.140625" style="1208"/>
    <col min="11009" max="11009" width="6.85546875" style="1208" customWidth="1"/>
    <col min="11010" max="11010" width="39.5703125" style="1208" customWidth="1"/>
    <col min="11011" max="11012" width="10.7109375" style="1208" customWidth="1"/>
    <col min="11013" max="11013" width="13.140625" style="1208" customWidth="1"/>
    <col min="11014" max="11014" width="17.42578125" style="1208" customWidth="1"/>
    <col min="11015" max="11264" width="9.140625" style="1208"/>
    <col min="11265" max="11265" width="6.85546875" style="1208" customWidth="1"/>
    <col min="11266" max="11266" width="39.5703125" style="1208" customWidth="1"/>
    <col min="11267" max="11268" width="10.7109375" style="1208" customWidth="1"/>
    <col min="11269" max="11269" width="13.140625" style="1208" customWidth="1"/>
    <col min="11270" max="11270" width="17.42578125" style="1208" customWidth="1"/>
    <col min="11271" max="11520" width="9.140625" style="1208"/>
    <col min="11521" max="11521" width="6.85546875" style="1208" customWidth="1"/>
    <col min="11522" max="11522" width="39.5703125" style="1208" customWidth="1"/>
    <col min="11523" max="11524" width="10.7109375" style="1208" customWidth="1"/>
    <col min="11525" max="11525" width="13.140625" style="1208" customWidth="1"/>
    <col min="11526" max="11526" width="17.42578125" style="1208" customWidth="1"/>
    <col min="11527" max="11776" width="9.140625" style="1208"/>
    <col min="11777" max="11777" width="6.85546875" style="1208" customWidth="1"/>
    <col min="11778" max="11778" width="39.5703125" style="1208" customWidth="1"/>
    <col min="11779" max="11780" width="10.7109375" style="1208" customWidth="1"/>
    <col min="11781" max="11781" width="13.140625" style="1208" customWidth="1"/>
    <col min="11782" max="11782" width="17.42578125" style="1208" customWidth="1"/>
    <col min="11783" max="12032" width="9.140625" style="1208"/>
    <col min="12033" max="12033" width="6.85546875" style="1208" customWidth="1"/>
    <col min="12034" max="12034" width="39.5703125" style="1208" customWidth="1"/>
    <col min="12035" max="12036" width="10.7109375" style="1208" customWidth="1"/>
    <col min="12037" max="12037" width="13.140625" style="1208" customWidth="1"/>
    <col min="12038" max="12038" width="17.42578125" style="1208" customWidth="1"/>
    <col min="12039" max="12288" width="9.140625" style="1208"/>
    <col min="12289" max="12289" width="6.85546875" style="1208" customWidth="1"/>
    <col min="12290" max="12290" width="39.5703125" style="1208" customWidth="1"/>
    <col min="12291" max="12292" width="10.7109375" style="1208" customWidth="1"/>
    <col min="12293" max="12293" width="13.140625" style="1208" customWidth="1"/>
    <col min="12294" max="12294" width="17.42578125" style="1208" customWidth="1"/>
    <col min="12295" max="12544" width="9.140625" style="1208"/>
    <col min="12545" max="12545" width="6.85546875" style="1208" customWidth="1"/>
    <col min="12546" max="12546" width="39.5703125" style="1208" customWidth="1"/>
    <col min="12547" max="12548" width="10.7109375" style="1208" customWidth="1"/>
    <col min="12549" max="12549" width="13.140625" style="1208" customWidth="1"/>
    <col min="12550" max="12550" width="17.42578125" style="1208" customWidth="1"/>
    <col min="12551" max="12800" width="9.140625" style="1208"/>
    <col min="12801" max="12801" width="6.85546875" style="1208" customWidth="1"/>
    <col min="12802" max="12802" width="39.5703125" style="1208" customWidth="1"/>
    <col min="12803" max="12804" width="10.7109375" style="1208" customWidth="1"/>
    <col min="12805" max="12805" width="13.140625" style="1208" customWidth="1"/>
    <col min="12806" max="12806" width="17.42578125" style="1208" customWidth="1"/>
    <col min="12807" max="13056" width="9.140625" style="1208"/>
    <col min="13057" max="13057" width="6.85546875" style="1208" customWidth="1"/>
    <col min="13058" max="13058" width="39.5703125" style="1208" customWidth="1"/>
    <col min="13059" max="13060" width="10.7109375" style="1208" customWidth="1"/>
    <col min="13061" max="13061" width="13.140625" style="1208" customWidth="1"/>
    <col min="13062" max="13062" width="17.42578125" style="1208" customWidth="1"/>
    <col min="13063" max="13312" width="9.140625" style="1208"/>
    <col min="13313" max="13313" width="6.85546875" style="1208" customWidth="1"/>
    <col min="13314" max="13314" width="39.5703125" style="1208" customWidth="1"/>
    <col min="13315" max="13316" width="10.7109375" style="1208" customWidth="1"/>
    <col min="13317" max="13317" width="13.140625" style="1208" customWidth="1"/>
    <col min="13318" max="13318" width="17.42578125" style="1208" customWidth="1"/>
    <col min="13319" max="13568" width="9.140625" style="1208"/>
    <col min="13569" max="13569" width="6.85546875" style="1208" customWidth="1"/>
    <col min="13570" max="13570" width="39.5703125" style="1208" customWidth="1"/>
    <col min="13571" max="13572" width="10.7109375" style="1208" customWidth="1"/>
    <col min="13573" max="13573" width="13.140625" style="1208" customWidth="1"/>
    <col min="13574" max="13574" width="17.42578125" style="1208" customWidth="1"/>
    <col min="13575" max="13824" width="9.140625" style="1208"/>
    <col min="13825" max="13825" width="6.85546875" style="1208" customWidth="1"/>
    <col min="13826" max="13826" width="39.5703125" style="1208" customWidth="1"/>
    <col min="13827" max="13828" width="10.7109375" style="1208" customWidth="1"/>
    <col min="13829" max="13829" width="13.140625" style="1208" customWidth="1"/>
    <col min="13830" max="13830" width="17.42578125" style="1208" customWidth="1"/>
    <col min="13831" max="14080" width="9.140625" style="1208"/>
    <col min="14081" max="14081" width="6.85546875" style="1208" customWidth="1"/>
    <col min="14082" max="14082" width="39.5703125" style="1208" customWidth="1"/>
    <col min="14083" max="14084" width="10.7109375" style="1208" customWidth="1"/>
    <col min="14085" max="14085" width="13.140625" style="1208" customWidth="1"/>
    <col min="14086" max="14086" width="17.42578125" style="1208" customWidth="1"/>
    <col min="14087" max="14336" width="9.140625" style="1208"/>
    <col min="14337" max="14337" width="6.85546875" style="1208" customWidth="1"/>
    <col min="14338" max="14338" width="39.5703125" style="1208" customWidth="1"/>
    <col min="14339" max="14340" width="10.7109375" style="1208" customWidth="1"/>
    <col min="14341" max="14341" width="13.140625" style="1208" customWidth="1"/>
    <col min="14342" max="14342" width="17.42578125" style="1208" customWidth="1"/>
    <col min="14343" max="14592" width="9.140625" style="1208"/>
    <col min="14593" max="14593" width="6.85546875" style="1208" customWidth="1"/>
    <col min="14594" max="14594" width="39.5703125" style="1208" customWidth="1"/>
    <col min="14595" max="14596" width="10.7109375" style="1208" customWidth="1"/>
    <col min="14597" max="14597" width="13.140625" style="1208" customWidth="1"/>
    <col min="14598" max="14598" width="17.42578125" style="1208" customWidth="1"/>
    <col min="14599" max="14848" width="9.140625" style="1208"/>
    <col min="14849" max="14849" width="6.85546875" style="1208" customWidth="1"/>
    <col min="14850" max="14850" width="39.5703125" style="1208" customWidth="1"/>
    <col min="14851" max="14852" width="10.7109375" style="1208" customWidth="1"/>
    <col min="14853" max="14853" width="13.140625" style="1208" customWidth="1"/>
    <col min="14854" max="14854" width="17.42578125" style="1208" customWidth="1"/>
    <col min="14855" max="15104" width="9.140625" style="1208"/>
    <col min="15105" max="15105" width="6.85546875" style="1208" customWidth="1"/>
    <col min="15106" max="15106" width="39.5703125" style="1208" customWidth="1"/>
    <col min="15107" max="15108" width="10.7109375" style="1208" customWidth="1"/>
    <col min="15109" max="15109" width="13.140625" style="1208" customWidth="1"/>
    <col min="15110" max="15110" width="17.42578125" style="1208" customWidth="1"/>
    <col min="15111" max="15360" width="9.140625" style="1208"/>
    <col min="15361" max="15361" width="6.85546875" style="1208" customWidth="1"/>
    <col min="15362" max="15362" width="39.5703125" style="1208" customWidth="1"/>
    <col min="15363" max="15364" width="10.7109375" style="1208" customWidth="1"/>
    <col min="15365" max="15365" width="13.140625" style="1208" customWidth="1"/>
    <col min="15366" max="15366" width="17.42578125" style="1208" customWidth="1"/>
    <col min="15367" max="15616" width="9.140625" style="1208"/>
    <col min="15617" max="15617" width="6.85546875" style="1208" customWidth="1"/>
    <col min="15618" max="15618" width="39.5703125" style="1208" customWidth="1"/>
    <col min="15619" max="15620" width="10.7109375" style="1208" customWidth="1"/>
    <col min="15621" max="15621" width="13.140625" style="1208" customWidth="1"/>
    <col min="15622" max="15622" width="17.42578125" style="1208" customWidth="1"/>
    <col min="15623" max="15872" width="9.140625" style="1208"/>
    <col min="15873" max="15873" width="6.85546875" style="1208" customWidth="1"/>
    <col min="15874" max="15874" width="39.5703125" style="1208" customWidth="1"/>
    <col min="15875" max="15876" width="10.7109375" style="1208" customWidth="1"/>
    <col min="15877" max="15877" width="13.140625" style="1208" customWidth="1"/>
    <col min="15878" max="15878" width="17.42578125" style="1208" customWidth="1"/>
    <col min="15879" max="16128" width="9.140625" style="1208"/>
    <col min="16129" max="16129" width="6.85546875" style="1208" customWidth="1"/>
    <col min="16130" max="16130" width="39.5703125" style="1208" customWidth="1"/>
    <col min="16131" max="16132" width="10.7109375" style="1208" customWidth="1"/>
    <col min="16133" max="16133" width="13.140625" style="1208" customWidth="1"/>
    <col min="16134" max="16134" width="17.42578125" style="1208" customWidth="1"/>
    <col min="16135" max="16384" width="9.140625" style="1208"/>
  </cols>
  <sheetData>
    <row r="1" spans="1:7" ht="21.75" customHeight="1" x14ac:dyDescent="0.25">
      <c r="F1" s="1155" t="s">
        <v>2351</v>
      </c>
    </row>
    <row r="2" spans="1:7" ht="21.75" customHeight="1" x14ac:dyDescent="0.25">
      <c r="A2" s="3132" t="s">
        <v>2084</v>
      </c>
      <c r="B2" s="3132"/>
      <c r="C2" s="3132"/>
      <c r="D2" s="3132"/>
      <c r="E2" s="3132"/>
      <c r="F2" s="3132"/>
    </row>
    <row r="3" spans="1:7" ht="21.75" customHeight="1" x14ac:dyDescent="0.25">
      <c r="A3" s="3140" t="str">
        <f>'Phụ biểu số 01'!A3:W3</f>
        <v>(Kèm theo Quyết định số          /QĐ-UBND ngày          /4/2026 của UBND phường Bắc Kạn)</v>
      </c>
      <c r="B3" s="3140"/>
      <c r="C3" s="3140"/>
      <c r="D3" s="3140"/>
      <c r="E3" s="3140"/>
      <c r="F3" s="3140"/>
    </row>
    <row r="4" spans="1:7" x14ac:dyDescent="0.25">
      <c r="E4" s="3324" t="s">
        <v>982</v>
      </c>
      <c r="F4" s="3324"/>
    </row>
    <row r="5" spans="1:7" ht="20.25" customHeight="1" x14ac:dyDescent="0.25">
      <c r="A5" s="3136" t="s">
        <v>0</v>
      </c>
      <c r="B5" s="3136" t="s">
        <v>1</v>
      </c>
      <c r="C5" s="3325" t="s">
        <v>13</v>
      </c>
      <c r="D5" s="3327" t="s">
        <v>47</v>
      </c>
      <c r="E5" s="3328"/>
      <c r="F5" s="3136" t="s">
        <v>55</v>
      </c>
    </row>
    <row r="6" spans="1:7" s="283" customFormat="1" ht="35.25" customHeight="1" x14ac:dyDescent="0.25">
      <c r="A6" s="3137"/>
      <c r="B6" s="3137"/>
      <c r="C6" s="3326"/>
      <c r="D6" s="2359" t="s">
        <v>1071</v>
      </c>
      <c r="E6" s="2360" t="s">
        <v>1072</v>
      </c>
      <c r="F6" s="3137"/>
    </row>
    <row r="7" spans="1:7" s="283" customFormat="1" ht="24" customHeight="1" x14ac:dyDescent="0.25">
      <c r="A7" s="5"/>
      <c r="B7" s="5" t="s">
        <v>13</v>
      </c>
      <c r="C7" s="1804">
        <f t="shared" ref="C7" si="0">SUM(D7:E7)</f>
        <v>2744802.2379999999</v>
      </c>
      <c r="D7" s="2361">
        <f>SUM(D8,D33)</f>
        <v>1384892.4849999999</v>
      </c>
      <c r="E7" s="2361">
        <f>SUM(E8,E33)</f>
        <v>1359909.753</v>
      </c>
      <c r="F7" s="84"/>
      <c r="G7" s="1208">
        <v>2744702.2379999757</v>
      </c>
    </row>
    <row r="8" spans="1:7" s="283" customFormat="1" ht="20.25" customHeight="1" x14ac:dyDescent="0.25">
      <c r="A8" s="5" t="s">
        <v>5</v>
      </c>
      <c r="B8" s="84" t="s">
        <v>494</v>
      </c>
      <c r="C8" s="1804">
        <f>C9+C30</f>
        <v>1384892.4849999999</v>
      </c>
      <c r="D8" s="2361">
        <f t="shared" ref="D8:E8" si="1">D9+D30</f>
        <v>1384892.4849999999</v>
      </c>
      <c r="E8" s="3045">
        <f t="shared" si="1"/>
        <v>0</v>
      </c>
      <c r="F8" s="84"/>
      <c r="G8" s="2790">
        <f>C7-G7</f>
        <v>100.00000002421439</v>
      </c>
    </row>
    <row r="9" spans="1:7" s="283" customFormat="1" ht="35.25" customHeight="1" x14ac:dyDescent="0.25">
      <c r="A9" s="5">
        <v>1</v>
      </c>
      <c r="B9" s="2354" t="s">
        <v>671</v>
      </c>
      <c r="C9" s="1804">
        <f>SUM(C10,C18)</f>
        <v>192998.48499999999</v>
      </c>
      <c r="D9" s="2361">
        <f>SUM(D10,D18)</f>
        <v>192998.48499999999</v>
      </c>
      <c r="E9" s="3045">
        <f t="shared" ref="E9" si="2">SUM(E10,E18)</f>
        <v>0</v>
      </c>
      <c r="F9" s="84"/>
    </row>
    <row r="10" spans="1:7" ht="47.25" customHeight="1" x14ac:dyDescent="0.25">
      <c r="A10" s="252" t="s">
        <v>7</v>
      </c>
      <c r="B10" s="2349" t="s">
        <v>2070</v>
      </c>
      <c r="C10" s="2355">
        <f>SUM(C11,C14,C16)</f>
        <v>174329.31599999999</v>
      </c>
      <c r="D10" s="2362">
        <f>SUM(D11,D14,D16)</f>
        <v>174329.31599999999</v>
      </c>
      <c r="E10" s="2363"/>
      <c r="F10" s="619"/>
    </row>
    <row r="11" spans="1:7" ht="33.75" customHeight="1" x14ac:dyDescent="0.25">
      <c r="A11" s="252" t="s">
        <v>1000</v>
      </c>
      <c r="B11" s="2352" t="s">
        <v>2071</v>
      </c>
      <c r="C11" s="2355">
        <f>C12+C13</f>
        <v>169620.68700000001</v>
      </c>
      <c r="D11" s="2362">
        <f>D12+D13</f>
        <v>169620.68700000001</v>
      </c>
      <c r="E11" s="2363"/>
      <c r="F11" s="619"/>
    </row>
    <row r="12" spans="1:7" ht="20.25" customHeight="1" x14ac:dyDescent="0.25">
      <c r="A12" s="252"/>
      <c r="B12" s="2350" t="s">
        <v>2073</v>
      </c>
      <c r="C12" s="2355">
        <f t="shared" ref="C12:C57" si="3">SUM(D12:E12)</f>
        <v>159620.68700000001</v>
      </c>
      <c r="D12" s="2362">
        <f>136278.188+23342.499</f>
        <v>159620.68700000001</v>
      </c>
      <c r="E12" s="2363"/>
      <c r="F12" s="619"/>
    </row>
    <row r="13" spans="1:7" ht="20.25" customHeight="1" x14ac:dyDescent="0.25">
      <c r="A13" s="252"/>
      <c r="B13" s="2350" t="s">
        <v>2072</v>
      </c>
      <c r="C13" s="2355">
        <f t="shared" si="3"/>
        <v>10000</v>
      </c>
      <c r="D13" s="2362">
        <v>10000</v>
      </c>
      <c r="E13" s="2363"/>
      <c r="F13" s="619"/>
    </row>
    <row r="14" spans="1:7" ht="48.75" customHeight="1" x14ac:dyDescent="0.25">
      <c r="A14" s="252" t="s">
        <v>1000</v>
      </c>
      <c r="B14" s="2352" t="s">
        <v>2074</v>
      </c>
      <c r="C14" s="2355">
        <f>C15</f>
        <v>2775.7890000000002</v>
      </c>
      <c r="D14" s="2362">
        <f>D15</f>
        <v>2775.7890000000002</v>
      </c>
      <c r="E14" s="2363"/>
      <c r="F14" s="619"/>
    </row>
    <row r="15" spans="1:7" ht="20.25" customHeight="1" x14ac:dyDescent="0.25">
      <c r="A15" s="252"/>
      <c r="B15" s="2350" t="s">
        <v>2073</v>
      </c>
      <c r="C15" s="2355">
        <f t="shared" si="3"/>
        <v>2775.7890000000002</v>
      </c>
      <c r="D15" s="2362">
        <v>2775.7890000000002</v>
      </c>
      <c r="E15" s="2363"/>
      <c r="F15" s="619"/>
    </row>
    <row r="16" spans="1:7" ht="51.75" customHeight="1" x14ac:dyDescent="0.25">
      <c r="A16" s="252" t="s">
        <v>1000</v>
      </c>
      <c r="B16" s="2352" t="s">
        <v>2075</v>
      </c>
      <c r="C16" s="2355">
        <f>C17</f>
        <v>1932.84</v>
      </c>
      <c r="D16" s="2362">
        <f>D17</f>
        <v>1932.84</v>
      </c>
      <c r="E16" s="2363"/>
      <c r="F16" s="619"/>
    </row>
    <row r="17" spans="1:7" ht="20.25" customHeight="1" x14ac:dyDescent="0.25">
      <c r="A17" s="252"/>
      <c r="B17" s="2350" t="s">
        <v>2072</v>
      </c>
      <c r="C17" s="2355">
        <f t="shared" si="3"/>
        <v>1932.84</v>
      </c>
      <c r="D17" s="2362">
        <v>1932.84</v>
      </c>
      <c r="E17" s="2363"/>
      <c r="F17" s="619"/>
    </row>
    <row r="18" spans="1:7" ht="34.5" customHeight="1" x14ac:dyDescent="0.25">
      <c r="A18" s="252" t="s">
        <v>38</v>
      </c>
      <c r="B18" s="2349" t="s">
        <v>2082</v>
      </c>
      <c r="C18" s="2355">
        <f>SUM(C19,C21,C23,C25,C28)</f>
        <v>18669.169000000002</v>
      </c>
      <c r="D18" s="2362">
        <f>SUM(D19,D21,D23,D25,D28)</f>
        <v>18669.169000000002</v>
      </c>
      <c r="E18" s="2363"/>
      <c r="F18" s="619"/>
    </row>
    <row r="19" spans="1:7" ht="34.5" customHeight="1" x14ac:dyDescent="0.25">
      <c r="A19" s="252" t="s">
        <v>1000</v>
      </c>
      <c r="B19" s="2352" t="s">
        <v>2076</v>
      </c>
      <c r="C19" s="2355">
        <f>C20</f>
        <v>4313.8980000000001</v>
      </c>
      <c r="D19" s="2362">
        <f>D20</f>
        <v>4313.8980000000001</v>
      </c>
      <c r="E19" s="2363"/>
      <c r="F19" s="619"/>
    </row>
    <row r="20" spans="1:7" ht="20.25" customHeight="1" x14ac:dyDescent="0.25">
      <c r="A20" s="252"/>
      <c r="B20" s="2350" t="s">
        <v>2073</v>
      </c>
      <c r="C20" s="2355">
        <f t="shared" si="3"/>
        <v>4313.8980000000001</v>
      </c>
      <c r="D20" s="2362">
        <v>4313.8980000000001</v>
      </c>
      <c r="E20" s="2363"/>
      <c r="F20" s="619"/>
    </row>
    <row r="21" spans="1:7" ht="33.75" customHeight="1" x14ac:dyDescent="0.25">
      <c r="A21" s="252" t="s">
        <v>1000</v>
      </c>
      <c r="B21" s="2352" t="s">
        <v>2077</v>
      </c>
      <c r="C21" s="2355">
        <f>C22</f>
        <v>4027.335</v>
      </c>
      <c r="D21" s="2362">
        <f>D22</f>
        <v>4027.335</v>
      </c>
      <c r="E21" s="2363"/>
      <c r="F21" s="619"/>
    </row>
    <row r="22" spans="1:7" ht="20.25" customHeight="1" x14ac:dyDescent="0.25">
      <c r="A22" s="252"/>
      <c r="B22" s="2350" t="s">
        <v>2073</v>
      </c>
      <c r="C22" s="2355">
        <f t="shared" si="3"/>
        <v>4027.335</v>
      </c>
      <c r="D22" s="2362">
        <v>4027.335</v>
      </c>
      <c r="E22" s="2363"/>
      <c r="F22" s="619"/>
    </row>
    <row r="23" spans="1:7" ht="52.5" customHeight="1" x14ac:dyDescent="0.25">
      <c r="A23" s="252" t="s">
        <v>1000</v>
      </c>
      <c r="B23" s="2352" t="s">
        <v>2078</v>
      </c>
      <c r="C23" s="2355">
        <f>C24</f>
        <v>4257.7139999999999</v>
      </c>
      <c r="D23" s="2362">
        <f>D24</f>
        <v>4257.7139999999999</v>
      </c>
      <c r="E23" s="2363"/>
      <c r="F23" s="619"/>
    </row>
    <row r="24" spans="1:7" ht="20.25" customHeight="1" x14ac:dyDescent="0.25">
      <c r="A24" s="252"/>
      <c r="B24" s="2350" t="s">
        <v>2073</v>
      </c>
      <c r="C24" s="2355">
        <f t="shared" si="3"/>
        <v>4257.7139999999999</v>
      </c>
      <c r="D24" s="2362">
        <v>4257.7139999999999</v>
      </c>
      <c r="E24" s="2363"/>
      <c r="F24" s="619"/>
    </row>
    <row r="25" spans="1:7" ht="53.25" customHeight="1" x14ac:dyDescent="0.25">
      <c r="A25" s="252" t="s">
        <v>1000</v>
      </c>
      <c r="B25" s="2352" t="s">
        <v>2074</v>
      </c>
      <c r="C25" s="2355">
        <f>C26+C27</f>
        <v>5070.2219999999998</v>
      </c>
      <c r="D25" s="2362">
        <f>D26+D27</f>
        <v>5070.2219999999998</v>
      </c>
      <c r="E25" s="2363"/>
      <c r="F25" s="619"/>
    </row>
    <row r="26" spans="1:7" ht="20.25" customHeight="1" x14ac:dyDescent="0.25">
      <c r="A26" s="252"/>
      <c r="B26" s="2350" t="s">
        <v>2073</v>
      </c>
      <c r="C26" s="2355">
        <f t="shared" si="3"/>
        <v>4070.2220000000002</v>
      </c>
      <c r="D26" s="2362">
        <v>4070.2220000000002</v>
      </c>
      <c r="E26" s="2363"/>
      <c r="F26" s="619"/>
    </row>
    <row r="27" spans="1:7" ht="20.25" customHeight="1" x14ac:dyDescent="0.25">
      <c r="A27" s="252"/>
      <c r="B27" s="2350" t="s">
        <v>2072</v>
      </c>
      <c r="C27" s="2355">
        <f t="shared" si="3"/>
        <v>1000</v>
      </c>
      <c r="D27" s="2362">
        <v>1000</v>
      </c>
      <c r="E27" s="2363"/>
      <c r="F27" s="619"/>
    </row>
    <row r="28" spans="1:7" ht="51.75" customHeight="1" x14ac:dyDescent="0.25">
      <c r="A28" s="252" t="s">
        <v>1000</v>
      </c>
      <c r="B28" s="2352" t="s">
        <v>2079</v>
      </c>
      <c r="C28" s="2355">
        <f>C29</f>
        <v>1000</v>
      </c>
      <c r="D28" s="2362">
        <f>D29</f>
        <v>1000</v>
      </c>
      <c r="E28" s="2363"/>
      <c r="F28" s="619"/>
    </row>
    <row r="29" spans="1:7" ht="20.25" customHeight="1" x14ac:dyDescent="0.25">
      <c r="A29" s="252"/>
      <c r="B29" s="2350" t="s">
        <v>2072</v>
      </c>
      <c r="C29" s="2355">
        <f t="shared" si="3"/>
        <v>1000</v>
      </c>
      <c r="D29" s="2362">
        <v>1000</v>
      </c>
      <c r="E29" s="2363"/>
      <c r="F29" s="619"/>
    </row>
    <row r="30" spans="1:7" s="283" customFormat="1" ht="20.25" customHeight="1" x14ac:dyDescent="0.25">
      <c r="A30" s="5">
        <v>2</v>
      </c>
      <c r="B30" s="84" t="s">
        <v>723</v>
      </c>
      <c r="C30" s="1804">
        <f>C31+C32</f>
        <v>1191894</v>
      </c>
      <c r="D30" s="1804">
        <f>D31+D32</f>
        <v>1191894</v>
      </c>
      <c r="E30" s="2364"/>
      <c r="F30" s="84"/>
    </row>
    <row r="31" spans="1:7" s="2457" customFormat="1" ht="20.25" hidden="1" customHeight="1" x14ac:dyDescent="0.25">
      <c r="A31" s="2452" t="s">
        <v>43</v>
      </c>
      <c r="B31" s="2453" t="s">
        <v>2069</v>
      </c>
      <c r="C31" s="2454">
        <f>SUM(D31:E31)</f>
        <v>0</v>
      </c>
      <c r="D31" s="2455"/>
      <c r="E31" s="2456"/>
      <c r="F31" s="2453"/>
      <c r="G31" s="2457" t="s">
        <v>2137</v>
      </c>
    </row>
    <row r="32" spans="1:7" ht="51" customHeight="1" x14ac:dyDescent="0.25">
      <c r="A32" s="252" t="s">
        <v>43</v>
      </c>
      <c r="B32" s="2353" t="s">
        <v>2081</v>
      </c>
      <c r="C32" s="2355">
        <f>SUM(D32:E32)</f>
        <v>1191894</v>
      </c>
      <c r="D32" s="2362">
        <v>1191894</v>
      </c>
      <c r="E32" s="2363"/>
      <c r="F32" s="619"/>
    </row>
    <row r="33" spans="1:6" s="283" customFormat="1" ht="20.25" customHeight="1" x14ac:dyDescent="0.25">
      <c r="A33" s="5" t="s">
        <v>11</v>
      </c>
      <c r="B33" s="2356" t="s">
        <v>535</v>
      </c>
      <c r="C33" s="1804"/>
      <c r="D33" s="2361"/>
      <c r="E33" s="2361">
        <f>SUM(E34,E56)</f>
        <v>1359909.753</v>
      </c>
      <c r="F33" s="84"/>
    </row>
    <row r="34" spans="1:6" ht="33.75" customHeight="1" x14ac:dyDescent="0.25">
      <c r="A34" s="5">
        <v>1</v>
      </c>
      <c r="B34" s="2354" t="s">
        <v>671</v>
      </c>
      <c r="C34" s="2355"/>
      <c r="D34" s="2362"/>
      <c r="E34" s="2362">
        <f>SUM(E35,E42,E49)</f>
        <v>1019099.1649999999</v>
      </c>
      <c r="F34" s="1522"/>
    </row>
    <row r="35" spans="1:6" ht="33.75" customHeight="1" x14ac:dyDescent="0.25">
      <c r="A35" s="252" t="s">
        <v>7</v>
      </c>
      <c r="B35" s="2320" t="s">
        <v>2083</v>
      </c>
      <c r="C35" s="2355"/>
      <c r="D35" s="2362"/>
      <c r="E35" s="2362">
        <v>378169.39699999994</v>
      </c>
      <c r="F35" s="619"/>
    </row>
    <row r="36" spans="1:6" ht="20.25" customHeight="1" x14ac:dyDescent="0.25">
      <c r="A36" s="252"/>
      <c r="B36" s="619" t="s">
        <v>2063</v>
      </c>
      <c r="C36" s="2355"/>
      <c r="D36" s="2362"/>
      <c r="E36" s="2362">
        <f>E37</f>
        <v>131656.95699999999</v>
      </c>
      <c r="F36" s="619"/>
    </row>
    <row r="37" spans="1:6" ht="20.25" customHeight="1" x14ac:dyDescent="0.25">
      <c r="A37" s="252"/>
      <c r="B37" s="2330" t="s">
        <v>2059</v>
      </c>
      <c r="C37" s="2355"/>
      <c r="D37" s="2362"/>
      <c r="E37" s="2362">
        <v>131656.95699999999</v>
      </c>
      <c r="F37" s="619"/>
    </row>
    <row r="38" spans="1:6" ht="20.25" customHeight="1" x14ac:dyDescent="0.25">
      <c r="A38" s="252"/>
      <c r="B38" s="2330" t="s">
        <v>2060</v>
      </c>
      <c r="C38" s="2355"/>
      <c r="D38" s="2362"/>
      <c r="E38" s="2362"/>
      <c r="F38" s="619"/>
    </row>
    <row r="39" spans="1:6" ht="20.25" customHeight="1" x14ac:dyDescent="0.25">
      <c r="A39" s="252"/>
      <c r="B39" s="619" t="s">
        <v>2064</v>
      </c>
      <c r="C39" s="2355"/>
      <c r="D39" s="2362"/>
      <c r="E39" s="2362">
        <f>E40+E41</f>
        <v>246512.43999999994</v>
      </c>
      <c r="F39" s="619"/>
    </row>
    <row r="40" spans="1:6" ht="20.25" customHeight="1" x14ac:dyDescent="0.25">
      <c r="A40" s="252"/>
      <c r="B40" s="2330" t="s">
        <v>2059</v>
      </c>
      <c r="C40" s="2355"/>
      <c r="D40" s="2362"/>
      <c r="E40" s="2362">
        <v>242512.43999999994</v>
      </c>
      <c r="F40" s="619"/>
    </row>
    <row r="41" spans="1:6" ht="20.25" customHeight="1" x14ac:dyDescent="0.25">
      <c r="A41" s="252"/>
      <c r="B41" s="2330" t="s">
        <v>2060</v>
      </c>
      <c r="C41" s="2355"/>
      <c r="D41" s="2362"/>
      <c r="E41" s="2362">
        <v>4000</v>
      </c>
      <c r="F41" s="619"/>
    </row>
    <row r="42" spans="1:6" ht="33.75" customHeight="1" x14ac:dyDescent="0.25">
      <c r="A42" s="252" t="s">
        <v>38</v>
      </c>
      <c r="B42" s="2331" t="s">
        <v>2061</v>
      </c>
      <c r="C42" s="2355"/>
      <c r="D42" s="2362"/>
      <c r="E42" s="2362">
        <f>E43+E46</f>
        <v>440781.96799999994</v>
      </c>
      <c r="F42" s="619"/>
    </row>
    <row r="43" spans="1:6" ht="20.25" customHeight="1" x14ac:dyDescent="0.25">
      <c r="A43" s="252"/>
      <c r="B43" s="619" t="s">
        <v>2063</v>
      </c>
      <c r="C43" s="2355"/>
      <c r="D43" s="2362"/>
      <c r="E43" s="2362">
        <f>E44+E45</f>
        <v>428924.78799999994</v>
      </c>
      <c r="F43" s="619"/>
    </row>
    <row r="44" spans="1:6" ht="20.25" customHeight="1" x14ac:dyDescent="0.25">
      <c r="A44" s="252"/>
      <c r="B44" s="2330" t="s">
        <v>2059</v>
      </c>
      <c r="C44" s="2355"/>
      <c r="D44" s="2362"/>
      <c r="E44" s="2362">
        <v>391884.18799999997</v>
      </c>
      <c r="F44" s="619"/>
    </row>
    <row r="45" spans="1:6" ht="20.25" customHeight="1" x14ac:dyDescent="0.25">
      <c r="A45" s="252"/>
      <c r="B45" s="2330" t="s">
        <v>2060</v>
      </c>
      <c r="C45" s="2355"/>
      <c r="D45" s="2362"/>
      <c r="E45" s="2362">
        <v>37040.600000000006</v>
      </c>
      <c r="F45" s="619"/>
    </row>
    <row r="46" spans="1:6" ht="20.25" customHeight="1" x14ac:dyDescent="0.25">
      <c r="A46" s="252"/>
      <c r="B46" s="619" t="s">
        <v>2064</v>
      </c>
      <c r="C46" s="2355"/>
      <c r="D46" s="2362"/>
      <c r="E46" s="2362">
        <f>E47+E48</f>
        <v>11857.18</v>
      </c>
      <c r="F46" s="619"/>
    </row>
    <row r="47" spans="1:6" ht="20.25" customHeight="1" x14ac:dyDescent="0.25">
      <c r="A47" s="252"/>
      <c r="B47" s="2330" t="s">
        <v>2059</v>
      </c>
      <c r="C47" s="2355"/>
      <c r="D47" s="2362"/>
      <c r="E47" s="2362">
        <v>11857.18</v>
      </c>
      <c r="F47" s="619"/>
    </row>
    <row r="48" spans="1:6" ht="20.25" customHeight="1" x14ac:dyDescent="0.25">
      <c r="A48" s="252"/>
      <c r="B48" s="2330" t="s">
        <v>2060</v>
      </c>
      <c r="C48" s="2355"/>
      <c r="D48" s="2362"/>
      <c r="E48" s="2362">
        <v>0</v>
      </c>
      <c r="F48" s="619"/>
    </row>
    <row r="49" spans="1:10" ht="33.75" customHeight="1" x14ac:dyDescent="0.25">
      <c r="A49" s="252" t="s">
        <v>39</v>
      </c>
      <c r="B49" s="2330" t="s">
        <v>2062</v>
      </c>
      <c r="C49" s="2355"/>
      <c r="D49" s="2362"/>
      <c r="E49" s="2362">
        <v>200147.80000000002</v>
      </c>
      <c r="F49" s="619"/>
    </row>
    <row r="50" spans="1:10" ht="20.25" customHeight="1" x14ac:dyDescent="0.25">
      <c r="A50" s="252"/>
      <c r="B50" s="619" t="s">
        <v>2063</v>
      </c>
      <c r="C50" s="2355"/>
      <c r="D50" s="2362"/>
      <c r="E50" s="2362">
        <f>E51+E52</f>
        <v>178997.80000000002</v>
      </c>
      <c r="F50" s="619"/>
    </row>
    <row r="51" spans="1:10" ht="20.25" customHeight="1" x14ac:dyDescent="0.25">
      <c r="A51" s="252"/>
      <c r="B51" s="2330" t="s">
        <v>2059</v>
      </c>
      <c r="C51" s="2355"/>
      <c r="D51" s="2362"/>
      <c r="E51" s="2362">
        <v>157997.80000000002</v>
      </c>
      <c r="F51" s="619"/>
    </row>
    <row r="52" spans="1:10" ht="20.25" customHeight="1" x14ac:dyDescent="0.25">
      <c r="A52" s="252"/>
      <c r="B52" s="2330" t="s">
        <v>2060</v>
      </c>
      <c r="C52" s="2355"/>
      <c r="D52" s="2362"/>
      <c r="E52" s="2362">
        <v>21000</v>
      </c>
      <c r="F52" s="619"/>
    </row>
    <row r="53" spans="1:10" ht="20.25" customHeight="1" x14ac:dyDescent="0.25">
      <c r="A53" s="252"/>
      <c r="B53" s="619" t="s">
        <v>2064</v>
      </c>
      <c r="C53" s="2355"/>
      <c r="D53" s="2362"/>
      <c r="E53" s="2362">
        <f>E54+E55</f>
        <v>21150</v>
      </c>
      <c r="F53" s="619"/>
    </row>
    <row r="54" spans="1:10" ht="20.25" customHeight="1" x14ac:dyDescent="0.25">
      <c r="A54" s="252"/>
      <c r="B54" s="2330" t="s">
        <v>2059</v>
      </c>
      <c r="C54" s="2355"/>
      <c r="D54" s="2362"/>
      <c r="E54" s="2362">
        <v>19150</v>
      </c>
      <c r="F54" s="619"/>
    </row>
    <row r="55" spans="1:10" ht="20.25" customHeight="1" x14ac:dyDescent="0.25">
      <c r="A55" s="252"/>
      <c r="B55" s="2330" t="s">
        <v>2060</v>
      </c>
      <c r="C55" s="2355"/>
      <c r="D55" s="2362"/>
      <c r="E55" s="2362">
        <v>2000</v>
      </c>
      <c r="F55" s="619"/>
    </row>
    <row r="56" spans="1:10" ht="34.5" customHeight="1" x14ac:dyDescent="0.25">
      <c r="A56" s="252">
        <v>2</v>
      </c>
      <c r="B56" s="2352" t="s">
        <v>2139</v>
      </c>
      <c r="C56" s="2355"/>
      <c r="D56" s="2362"/>
      <c r="E56" s="2362">
        <f>SUM(E57:E60)</f>
        <v>340810.58799999999</v>
      </c>
      <c r="F56" s="619"/>
    </row>
    <row r="57" spans="1:10" ht="39.75" customHeight="1" x14ac:dyDescent="0.25">
      <c r="A57" s="2471" t="s">
        <v>43</v>
      </c>
      <c r="B57" s="2472" t="s">
        <v>2080</v>
      </c>
      <c r="C57" s="2473">
        <f t="shared" si="3"/>
        <v>125696.4</v>
      </c>
      <c r="D57" s="2474"/>
      <c r="E57" s="2474">
        <f>125687.4+9</f>
        <v>125696.4</v>
      </c>
      <c r="F57" s="2472"/>
    </row>
    <row r="58" spans="1:10" ht="39.75" customHeight="1" x14ac:dyDescent="0.25">
      <c r="A58" s="2471" t="s">
        <v>44</v>
      </c>
      <c r="B58" s="2472" t="s">
        <v>2138</v>
      </c>
      <c r="C58" s="2473"/>
      <c r="D58" s="2474"/>
      <c r="E58" s="2473">
        <v>16261</v>
      </c>
      <c r="F58" s="2472"/>
    </row>
    <row r="59" spans="1:10" ht="47.25" customHeight="1" x14ac:dyDescent="0.25">
      <c r="A59" s="2471" t="s">
        <v>51</v>
      </c>
      <c r="B59" s="619" t="s">
        <v>2335</v>
      </c>
      <c r="C59" s="2355"/>
      <c r="D59" s="2362"/>
      <c r="E59" s="2355">
        <f>3776.8+5334.2</f>
        <v>9111</v>
      </c>
      <c r="F59" s="619"/>
    </row>
    <row r="60" spans="1:10" ht="39.75" customHeight="1" x14ac:dyDescent="0.25">
      <c r="A60" s="2471" t="s">
        <v>130</v>
      </c>
      <c r="B60" s="2472" t="s">
        <v>2140</v>
      </c>
      <c r="C60" s="2473"/>
      <c r="D60" s="2474"/>
      <c r="E60" s="2474">
        <f>200000-25272+6014.188+9000</f>
        <v>189742.18799999999</v>
      </c>
      <c r="F60" s="2472"/>
    </row>
    <row r="61" spans="1:10" hidden="1" x14ac:dyDescent="0.25">
      <c r="B61" s="3329"/>
      <c r="C61" s="3329"/>
      <c r="D61" s="3329"/>
      <c r="E61" s="3329"/>
      <c r="F61" s="3329"/>
    </row>
    <row r="62" spans="1:10" ht="16.5" hidden="1" x14ac:dyDescent="0.25">
      <c r="B62" s="1232"/>
      <c r="C62" s="3330" t="s">
        <v>2344</v>
      </c>
      <c r="D62" s="3330"/>
      <c r="E62" s="3330"/>
      <c r="F62" s="3330"/>
      <c r="G62" s="1233"/>
      <c r="H62" s="1233"/>
      <c r="I62" s="1233"/>
      <c r="J62" s="1233"/>
    </row>
    <row r="63" spans="1:10" ht="21" hidden="1" customHeight="1" x14ac:dyDescent="0.25">
      <c r="A63" s="3331"/>
      <c r="B63" s="3331"/>
      <c r="C63" s="3331" t="s">
        <v>1075</v>
      </c>
      <c r="D63" s="3331"/>
      <c r="E63" s="3331"/>
      <c r="F63" s="3331"/>
      <c r="G63" s="1234"/>
      <c r="H63" s="1234"/>
      <c r="I63" s="1234"/>
      <c r="J63" s="1234"/>
    </row>
    <row r="64" spans="1:10" ht="16.5" hidden="1" x14ac:dyDescent="0.25">
      <c r="C64" s="3133" t="s">
        <v>12</v>
      </c>
      <c r="D64" s="3133"/>
      <c r="E64" s="3133"/>
      <c r="F64" s="3133"/>
    </row>
    <row r="65" spans="3:6" hidden="1" x14ac:dyDescent="0.25"/>
    <row r="66" spans="3:6" hidden="1" x14ac:dyDescent="0.25"/>
    <row r="67" spans="3:6" hidden="1" x14ac:dyDescent="0.25"/>
    <row r="68" spans="3:6" hidden="1" x14ac:dyDescent="0.25"/>
    <row r="69" spans="3:6" hidden="1" x14ac:dyDescent="0.25"/>
    <row r="70" spans="3:6" ht="24" hidden="1" customHeight="1" x14ac:dyDescent="0.25">
      <c r="C70" s="3323" t="s">
        <v>1386</v>
      </c>
      <c r="D70" s="3323"/>
      <c r="E70" s="3323"/>
      <c r="F70" s="3323"/>
    </row>
  </sheetData>
  <mergeCells count="14">
    <mergeCell ref="C70:F70"/>
    <mergeCell ref="A2:F2"/>
    <mergeCell ref="E4:F4"/>
    <mergeCell ref="A5:A6"/>
    <mergeCell ref="B5:B6"/>
    <mergeCell ref="C5:C6"/>
    <mergeCell ref="D5:E5"/>
    <mergeCell ref="F5:F6"/>
    <mergeCell ref="A3:F3"/>
    <mergeCell ref="B61:F61"/>
    <mergeCell ref="C62:F62"/>
    <mergeCell ref="A63:B63"/>
    <mergeCell ref="C63:F63"/>
    <mergeCell ref="C64:F64"/>
  </mergeCells>
  <phoneticPr fontId="70" type="noConversion"/>
  <pageMargins left="0.7" right="0.7" top="0.75" bottom="0.75" header="0.3" footer="0.3"/>
  <pageSetup paperSize="9" scale="80" firstPageNumber="78" orientation="portrait" useFirstPageNumber="1" verticalDpi="0" r:id="rId1"/>
  <headerFooter>
    <oddFooter>&amp;C&amp;P</oddFooter>
  </headerFooter>
  <colBreaks count="1" manualBreakCount="1">
    <brk id="6" max="1048575" man="1"/>
  </colBreaks>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F4C04-77AD-4E66-AC5C-B046F1BA442A}">
  <dimension ref="A1:N213"/>
  <sheetViews>
    <sheetView zoomScaleNormal="100" workbookViewId="0">
      <selection activeCell="P21" sqref="P21"/>
    </sheetView>
  </sheetViews>
  <sheetFormatPr defaultRowHeight="15" x14ac:dyDescent="0.25"/>
  <cols>
    <col min="1" max="1" width="7.85546875" customWidth="1"/>
    <col min="2" max="2" width="23.42578125" customWidth="1"/>
    <col min="3" max="14" width="14.42578125" customWidth="1"/>
  </cols>
  <sheetData>
    <row r="1" spans="1:14" x14ac:dyDescent="0.25">
      <c r="A1" s="3338" t="s">
        <v>1188</v>
      </c>
      <c r="B1" s="3338"/>
      <c r="C1" s="3338"/>
      <c r="L1" s="3338" t="s">
        <v>1189</v>
      </c>
      <c r="M1" s="3338"/>
      <c r="N1" s="3338"/>
    </row>
    <row r="2" spans="1:14" x14ac:dyDescent="0.25">
      <c r="L2" s="3338" t="s">
        <v>1190</v>
      </c>
      <c r="M2" s="3338"/>
      <c r="N2" s="3338"/>
    </row>
    <row r="3" spans="1:14" x14ac:dyDescent="0.25">
      <c r="A3" s="3337" t="s">
        <v>1191</v>
      </c>
      <c r="B3" s="3337"/>
      <c r="C3" s="3337"/>
      <c r="D3" s="3337"/>
      <c r="E3" s="3337"/>
      <c r="F3" s="3337"/>
      <c r="G3" s="3337"/>
      <c r="H3" s="3337"/>
      <c r="I3" s="3337"/>
      <c r="J3" s="3337"/>
      <c r="K3" s="3337"/>
      <c r="L3" s="3337"/>
      <c r="M3" s="3337"/>
      <c r="N3" s="3337"/>
    </row>
    <row r="4" spans="1:14" x14ac:dyDescent="0.25">
      <c r="A4" s="3338" t="s">
        <v>1192</v>
      </c>
      <c r="B4" s="3338"/>
      <c r="C4" s="3338"/>
      <c r="D4" s="3338"/>
      <c r="E4" s="3338"/>
      <c r="F4" s="3338"/>
      <c r="G4" s="3338"/>
      <c r="H4" s="3338"/>
      <c r="I4" s="3338"/>
      <c r="J4" s="3338"/>
      <c r="K4" s="3338"/>
      <c r="L4" s="3338"/>
      <c r="M4" s="3338"/>
      <c r="N4" s="3338"/>
    </row>
    <row r="5" spans="1:14" x14ac:dyDescent="0.25">
      <c r="M5" s="1318" t="s">
        <v>505</v>
      </c>
    </row>
    <row r="6" spans="1:14" x14ac:dyDescent="0.25">
      <c r="A6" s="1321"/>
      <c r="B6" s="1321"/>
      <c r="C6" s="3333" t="s">
        <v>1194</v>
      </c>
      <c r="D6" s="3333"/>
      <c r="E6" s="3333"/>
      <c r="F6" s="3333"/>
      <c r="G6" s="3333"/>
      <c r="H6" s="3333"/>
      <c r="I6" s="3333" t="s">
        <v>1195</v>
      </c>
      <c r="J6" s="3333"/>
      <c r="K6" s="3333"/>
      <c r="L6" s="3333"/>
      <c r="M6" s="3333"/>
      <c r="N6" s="3333"/>
    </row>
    <row r="7" spans="1:14" x14ac:dyDescent="0.25">
      <c r="A7" s="1323" t="s">
        <v>0</v>
      </c>
      <c r="B7" s="1322" t="s">
        <v>1193</v>
      </c>
      <c r="C7" s="3333" t="s">
        <v>903</v>
      </c>
      <c r="D7" s="3333" t="s">
        <v>904</v>
      </c>
      <c r="E7" s="3333" t="s">
        <v>1196</v>
      </c>
      <c r="F7" s="3333" t="s">
        <v>477</v>
      </c>
      <c r="G7" s="3333"/>
      <c r="H7" s="3333"/>
      <c r="I7" s="3333" t="s">
        <v>903</v>
      </c>
      <c r="J7" s="3334" t="s">
        <v>904</v>
      </c>
      <c r="K7" s="3333" t="s">
        <v>1196</v>
      </c>
      <c r="L7" s="3333" t="s">
        <v>477</v>
      </c>
      <c r="M7" s="3333"/>
      <c r="N7" s="3333"/>
    </row>
    <row r="8" spans="1:14" x14ac:dyDescent="0.25">
      <c r="A8" s="1325"/>
      <c r="B8" s="1325"/>
      <c r="C8" s="3333"/>
      <c r="D8" s="3333"/>
      <c r="E8" s="3333"/>
      <c r="F8" s="1324" t="s">
        <v>905</v>
      </c>
      <c r="G8" s="1326" t="s">
        <v>145</v>
      </c>
      <c r="H8" s="1324" t="s">
        <v>906</v>
      </c>
      <c r="I8" s="3333"/>
      <c r="J8" s="3334"/>
      <c r="K8" s="3333"/>
      <c r="L8" s="1326" t="s">
        <v>905</v>
      </c>
      <c r="M8" s="1326" t="s">
        <v>145</v>
      </c>
      <c r="N8" s="1324" t="s">
        <v>906</v>
      </c>
    </row>
    <row r="9" spans="1:14" x14ac:dyDescent="0.25">
      <c r="A9" s="1322" t="s">
        <v>3</v>
      </c>
      <c r="B9" s="1322" t="s">
        <v>4</v>
      </c>
      <c r="C9" s="1322" t="s">
        <v>35</v>
      </c>
      <c r="D9" s="1322">
        <v>2</v>
      </c>
      <c r="E9" s="1324" t="s">
        <v>1197</v>
      </c>
      <c r="F9" s="1322">
        <v>4</v>
      </c>
      <c r="G9" s="1322">
        <v>5</v>
      </c>
      <c r="H9" s="1322">
        <v>6</v>
      </c>
      <c r="I9" s="1322" t="s">
        <v>563</v>
      </c>
      <c r="J9" s="1322">
        <v>8</v>
      </c>
      <c r="K9" s="1326" t="s">
        <v>1198</v>
      </c>
      <c r="L9" s="1322">
        <v>10</v>
      </c>
      <c r="M9" s="1322">
        <v>11</v>
      </c>
      <c r="N9" s="1322">
        <v>12</v>
      </c>
    </row>
    <row r="10" spans="1:14" x14ac:dyDescent="0.25">
      <c r="A10" s="1327"/>
      <c r="B10" s="1321" t="s">
        <v>29</v>
      </c>
      <c r="C10" s="1328">
        <v>446873818674</v>
      </c>
      <c r="D10" s="1328">
        <v>808920681</v>
      </c>
      <c r="E10" s="1328">
        <v>446064897993</v>
      </c>
      <c r="F10" s="1328">
        <v>65835336560</v>
      </c>
      <c r="G10" s="1329">
        <v>0</v>
      </c>
      <c r="H10" s="1328">
        <v>380229561433</v>
      </c>
      <c r="I10" s="1328">
        <v>446873818674</v>
      </c>
      <c r="J10" s="1328">
        <v>808920681</v>
      </c>
      <c r="K10" s="1328">
        <v>446064897993</v>
      </c>
      <c r="L10" s="1328">
        <v>65835336560</v>
      </c>
      <c r="M10" s="1329">
        <v>0</v>
      </c>
      <c r="N10" s="1328">
        <v>380229561433</v>
      </c>
    </row>
    <row r="11" spans="1:14" ht="22.5" x14ac:dyDescent="0.25">
      <c r="A11" s="1327"/>
      <c r="B11" s="1321" t="s">
        <v>1199</v>
      </c>
      <c r="C11" s="1328">
        <v>446873818674</v>
      </c>
      <c r="D11" s="1328">
        <v>808920681</v>
      </c>
      <c r="E11" s="1328">
        <v>446064897993</v>
      </c>
      <c r="F11" s="1328">
        <v>65835336560</v>
      </c>
      <c r="G11" s="1329">
        <v>0</v>
      </c>
      <c r="H11" s="1328">
        <v>380229561433</v>
      </c>
      <c r="I11" s="1328">
        <v>446873818674</v>
      </c>
      <c r="J11" s="1328">
        <v>808920681</v>
      </c>
      <c r="K11" s="1328">
        <v>446064897993</v>
      </c>
      <c r="L11" s="1328">
        <v>65835336560</v>
      </c>
      <c r="M11" s="1329">
        <v>0</v>
      </c>
      <c r="N11" s="1328">
        <v>380229561433</v>
      </c>
    </row>
    <row r="12" spans="1:14" x14ac:dyDescent="0.25">
      <c r="A12" s="1330" t="s">
        <v>3</v>
      </c>
      <c r="B12" s="1321" t="s">
        <v>96</v>
      </c>
      <c r="C12" s="1328">
        <v>70064615064</v>
      </c>
      <c r="D12" s="1328">
        <v>808920681</v>
      </c>
      <c r="E12" s="1328">
        <v>69255694383</v>
      </c>
      <c r="F12" s="1328">
        <v>65835336560</v>
      </c>
      <c r="G12" s="1329">
        <v>0</v>
      </c>
      <c r="H12" s="1328">
        <v>3420357823</v>
      </c>
      <c r="I12" s="1328">
        <v>70064615064</v>
      </c>
      <c r="J12" s="1328">
        <v>808920681</v>
      </c>
      <c r="K12" s="1328">
        <v>69255694383</v>
      </c>
      <c r="L12" s="1328">
        <v>65835336560</v>
      </c>
      <c r="M12" s="1329">
        <v>0</v>
      </c>
      <c r="N12" s="1328">
        <v>3420357823</v>
      </c>
    </row>
    <row r="13" spans="1:14" ht="22.5" x14ac:dyDescent="0.25">
      <c r="A13" s="1327"/>
      <c r="B13" s="1321" t="s">
        <v>1200</v>
      </c>
      <c r="C13" s="1328">
        <v>70064615064</v>
      </c>
      <c r="D13" s="1328">
        <v>808920681</v>
      </c>
      <c r="E13" s="1328">
        <v>69255694383</v>
      </c>
      <c r="F13" s="1328">
        <v>65835336560</v>
      </c>
      <c r="G13" s="1329">
        <v>0</v>
      </c>
      <c r="H13" s="1328">
        <v>3420357823</v>
      </c>
      <c r="I13" s="1328">
        <v>70064615064</v>
      </c>
      <c r="J13" s="1328">
        <v>808920681</v>
      </c>
      <c r="K13" s="1328">
        <v>69255694383</v>
      </c>
      <c r="L13" s="1328">
        <v>65835336560</v>
      </c>
      <c r="M13" s="1329">
        <v>0</v>
      </c>
      <c r="N13" s="1328">
        <v>3420357823</v>
      </c>
    </row>
    <row r="14" spans="1:14" x14ac:dyDescent="0.25">
      <c r="A14" s="1330" t="s">
        <v>5</v>
      </c>
      <c r="B14" s="1321" t="s">
        <v>1201</v>
      </c>
      <c r="C14" s="1328">
        <v>56669275192</v>
      </c>
      <c r="D14" s="1328">
        <v>808920681</v>
      </c>
      <c r="E14" s="1328">
        <v>55860354511</v>
      </c>
      <c r="F14" s="1328">
        <v>52940795965</v>
      </c>
      <c r="G14" s="1329">
        <v>0</v>
      </c>
      <c r="H14" s="1328">
        <v>2919558546</v>
      </c>
      <c r="I14" s="1328">
        <v>56669275192</v>
      </c>
      <c r="J14" s="1328">
        <v>808920681</v>
      </c>
      <c r="K14" s="1328">
        <v>55860354511</v>
      </c>
      <c r="L14" s="1328">
        <v>52940795965</v>
      </c>
      <c r="M14" s="1329">
        <v>0</v>
      </c>
      <c r="N14" s="1328">
        <v>2919558546</v>
      </c>
    </row>
    <row r="15" spans="1:14" ht="22.5" x14ac:dyDescent="0.25">
      <c r="A15" s="1330">
        <v>1</v>
      </c>
      <c r="B15" s="1321" t="s">
        <v>1202</v>
      </c>
      <c r="C15" s="1328">
        <v>505235907</v>
      </c>
      <c r="D15" s="1329">
        <v>0</v>
      </c>
      <c r="E15" s="1328">
        <v>505235907</v>
      </c>
      <c r="F15" s="1328">
        <v>505235907</v>
      </c>
      <c r="G15" s="1329">
        <v>0</v>
      </c>
      <c r="H15" s="1329">
        <v>0</v>
      </c>
      <c r="I15" s="1328">
        <v>505235907</v>
      </c>
      <c r="J15" s="1329">
        <v>0</v>
      </c>
      <c r="K15" s="1328">
        <v>505235907</v>
      </c>
      <c r="L15" s="1328">
        <v>505235907</v>
      </c>
      <c r="M15" s="1329">
        <v>0</v>
      </c>
      <c r="N15" s="1329">
        <v>0</v>
      </c>
    </row>
    <row r="16" spans="1:14" ht="33.75" x14ac:dyDescent="0.25">
      <c r="A16" s="1330" t="s">
        <v>7</v>
      </c>
      <c r="B16" s="1321" t="s">
        <v>1203</v>
      </c>
      <c r="C16" s="1328">
        <v>71050219</v>
      </c>
      <c r="D16" s="1329">
        <v>0</v>
      </c>
      <c r="E16" s="1328">
        <v>71050219</v>
      </c>
      <c r="F16" s="1328">
        <v>71050219</v>
      </c>
      <c r="G16" s="1329">
        <v>0</v>
      </c>
      <c r="H16" s="1329">
        <v>0</v>
      </c>
      <c r="I16" s="1328">
        <v>71050219</v>
      </c>
      <c r="J16" s="1329">
        <v>0</v>
      </c>
      <c r="K16" s="1328">
        <v>71050219</v>
      </c>
      <c r="L16" s="1328">
        <v>71050219</v>
      </c>
      <c r="M16" s="1329">
        <v>0</v>
      </c>
      <c r="N16" s="1329">
        <v>0</v>
      </c>
    </row>
    <row r="17" spans="1:14" ht="22.5" x14ac:dyDescent="0.25">
      <c r="A17" s="1330" t="s">
        <v>1204</v>
      </c>
      <c r="B17" s="1321" t="s">
        <v>1205</v>
      </c>
      <c r="C17" s="1328">
        <v>71050219</v>
      </c>
      <c r="D17" s="1329">
        <v>0</v>
      </c>
      <c r="E17" s="1328">
        <v>71050219</v>
      </c>
      <c r="F17" s="1328">
        <v>71050219</v>
      </c>
      <c r="G17" s="1329">
        <v>0</v>
      </c>
      <c r="H17" s="1329">
        <v>0</v>
      </c>
      <c r="I17" s="1328">
        <v>71050219</v>
      </c>
      <c r="J17" s="1329">
        <v>0</v>
      </c>
      <c r="K17" s="1328">
        <v>71050219</v>
      </c>
      <c r="L17" s="1328">
        <v>71050219</v>
      </c>
      <c r="M17" s="1329">
        <v>0</v>
      </c>
      <c r="N17" s="1329">
        <v>0</v>
      </c>
    </row>
    <row r="18" spans="1:14" ht="56.25" customHeight="1" x14ac:dyDescent="0.25">
      <c r="A18" s="3335"/>
      <c r="B18" s="3335" t="s">
        <v>1206</v>
      </c>
      <c r="C18" s="1321"/>
      <c r="D18" s="3332">
        <v>0</v>
      </c>
      <c r="E18" s="3332">
        <v>0</v>
      </c>
      <c r="F18" s="3332">
        <v>0</v>
      </c>
      <c r="G18" s="3332">
        <v>0</v>
      </c>
      <c r="H18" s="3332">
        <v>0</v>
      </c>
      <c r="I18" s="3332">
        <v>0</v>
      </c>
      <c r="J18" s="3332">
        <v>0</v>
      </c>
      <c r="K18" s="3332">
        <v>0</v>
      </c>
      <c r="L18" s="3332">
        <v>0</v>
      </c>
      <c r="M18" s="3332">
        <v>0</v>
      </c>
      <c r="N18" s="3332">
        <v>0</v>
      </c>
    </row>
    <row r="19" spans="1:14" x14ac:dyDescent="0.25">
      <c r="A19" s="3335"/>
      <c r="B19" s="3335"/>
      <c r="C19" s="1329">
        <v>0</v>
      </c>
      <c r="D19" s="3332"/>
      <c r="E19" s="3332"/>
      <c r="F19" s="3332"/>
      <c r="G19" s="3332"/>
      <c r="H19" s="3332"/>
      <c r="I19" s="3332"/>
      <c r="J19" s="3332"/>
      <c r="K19" s="3332"/>
      <c r="L19" s="3332"/>
      <c r="M19" s="3332"/>
      <c r="N19" s="3332"/>
    </row>
    <row r="20" spans="1:14" ht="22.5" x14ac:dyDescent="0.25">
      <c r="A20" s="1330" t="s">
        <v>1207</v>
      </c>
      <c r="B20" s="1321" t="s">
        <v>1208</v>
      </c>
      <c r="C20" s="1329">
        <v>0</v>
      </c>
      <c r="D20" s="1329">
        <v>0</v>
      </c>
      <c r="E20" s="1329">
        <v>0</v>
      </c>
      <c r="F20" s="1329">
        <v>0</v>
      </c>
      <c r="G20" s="1329">
        <v>0</v>
      </c>
      <c r="H20" s="1329">
        <v>0</v>
      </c>
      <c r="I20" s="1329">
        <v>0</v>
      </c>
      <c r="J20" s="1329">
        <v>0</v>
      </c>
      <c r="K20" s="1329">
        <v>0</v>
      </c>
      <c r="L20" s="1329">
        <v>0</v>
      </c>
      <c r="M20" s="1329">
        <v>0</v>
      </c>
      <c r="N20" s="1329">
        <v>0</v>
      </c>
    </row>
    <row r="21" spans="1:14" ht="33.75" x14ac:dyDescent="0.25">
      <c r="A21" s="1321"/>
      <c r="B21" s="1321" t="s">
        <v>1209</v>
      </c>
      <c r="C21" s="1329">
        <v>0</v>
      </c>
      <c r="D21" s="1329">
        <v>0</v>
      </c>
      <c r="E21" s="1329">
        <v>0</v>
      </c>
      <c r="F21" s="1329">
        <v>0</v>
      </c>
      <c r="G21" s="1329">
        <v>0</v>
      </c>
      <c r="H21" s="1329">
        <v>0</v>
      </c>
      <c r="I21" s="1329">
        <v>0</v>
      </c>
      <c r="J21" s="1329">
        <v>0</v>
      </c>
      <c r="K21" s="1329">
        <v>0</v>
      </c>
      <c r="L21" s="1329">
        <v>0</v>
      </c>
      <c r="M21" s="1329">
        <v>0</v>
      </c>
      <c r="N21" s="1329">
        <v>0</v>
      </c>
    </row>
    <row r="22" spans="1:14" x14ac:dyDescent="0.25">
      <c r="A22" s="1330" t="s">
        <v>1210</v>
      </c>
      <c r="B22" s="1321" t="s">
        <v>15</v>
      </c>
      <c r="C22" s="1329">
        <v>0</v>
      </c>
      <c r="D22" s="1329">
        <v>0</v>
      </c>
      <c r="E22" s="1329">
        <v>0</v>
      </c>
      <c r="F22" s="1329">
        <v>0</v>
      </c>
      <c r="G22" s="1329">
        <v>0</v>
      </c>
      <c r="H22" s="1329">
        <v>0</v>
      </c>
      <c r="I22" s="1329">
        <v>0</v>
      </c>
      <c r="J22" s="1329">
        <v>0</v>
      </c>
      <c r="K22" s="1329">
        <v>0</v>
      </c>
      <c r="L22" s="1329">
        <v>0</v>
      </c>
      <c r="M22" s="1329">
        <v>0</v>
      </c>
      <c r="N22" s="1329">
        <v>0</v>
      </c>
    </row>
    <row r="23" spans="1:14" ht="45" x14ac:dyDescent="0.25">
      <c r="A23" s="1321"/>
      <c r="B23" s="1321" t="s">
        <v>1211</v>
      </c>
      <c r="C23" s="1329">
        <v>0</v>
      </c>
      <c r="D23" s="1329">
        <v>0</v>
      </c>
      <c r="E23" s="1329">
        <v>0</v>
      </c>
      <c r="F23" s="1329">
        <v>0</v>
      </c>
      <c r="G23" s="1329">
        <v>0</v>
      </c>
      <c r="H23" s="1329">
        <v>0</v>
      </c>
      <c r="I23" s="1329">
        <v>0</v>
      </c>
      <c r="J23" s="1329">
        <v>0</v>
      </c>
      <c r="K23" s="1329">
        <v>0</v>
      </c>
      <c r="L23" s="1329">
        <v>0</v>
      </c>
      <c r="M23" s="1329">
        <v>0</v>
      </c>
      <c r="N23" s="1329">
        <v>0</v>
      </c>
    </row>
    <row r="24" spans="1:14" x14ac:dyDescent="0.25">
      <c r="A24" s="1330" t="s">
        <v>1212</v>
      </c>
      <c r="B24" s="1321" t="s">
        <v>16</v>
      </c>
      <c r="C24" s="1329">
        <v>0</v>
      </c>
      <c r="D24" s="1329">
        <v>0</v>
      </c>
      <c r="E24" s="1329">
        <v>0</v>
      </c>
      <c r="F24" s="1329">
        <v>0</v>
      </c>
      <c r="G24" s="1329">
        <v>0</v>
      </c>
      <c r="H24" s="1329">
        <v>0</v>
      </c>
      <c r="I24" s="1329">
        <v>0</v>
      </c>
      <c r="J24" s="1329">
        <v>0</v>
      </c>
      <c r="K24" s="1329">
        <v>0</v>
      </c>
      <c r="L24" s="1329">
        <v>0</v>
      </c>
      <c r="M24" s="1329">
        <v>0</v>
      </c>
      <c r="N24" s="1329">
        <v>0</v>
      </c>
    </row>
    <row r="25" spans="1:14" ht="45" x14ac:dyDescent="0.25">
      <c r="A25" s="1321"/>
      <c r="B25" s="1321" t="s">
        <v>1213</v>
      </c>
      <c r="C25" s="1329">
        <v>0</v>
      </c>
      <c r="D25" s="1329">
        <v>0</v>
      </c>
      <c r="E25" s="1329">
        <v>0</v>
      </c>
      <c r="F25" s="1329">
        <v>0</v>
      </c>
      <c r="G25" s="1329">
        <v>0</v>
      </c>
      <c r="H25" s="1329">
        <v>0</v>
      </c>
      <c r="I25" s="1329">
        <v>0</v>
      </c>
      <c r="J25" s="1329">
        <v>0</v>
      </c>
      <c r="K25" s="1329">
        <v>0</v>
      </c>
      <c r="L25" s="1329">
        <v>0</v>
      </c>
      <c r="M25" s="1329">
        <v>0</v>
      </c>
      <c r="N25" s="1329">
        <v>0</v>
      </c>
    </row>
    <row r="26" spans="1:14" ht="22.5" x14ac:dyDescent="0.25">
      <c r="A26" s="1327"/>
      <c r="B26" s="1331" t="s">
        <v>1214</v>
      </c>
      <c r="C26" s="1329">
        <v>0</v>
      </c>
      <c r="D26" s="1329">
        <v>0</v>
      </c>
      <c r="E26" s="1329">
        <v>0</v>
      </c>
      <c r="F26" s="1329">
        <v>0</v>
      </c>
      <c r="G26" s="1329">
        <v>0</v>
      </c>
      <c r="H26" s="1329">
        <v>0</v>
      </c>
      <c r="I26" s="1329">
        <v>0</v>
      </c>
      <c r="J26" s="1329">
        <v>0</v>
      </c>
      <c r="K26" s="1329">
        <v>0</v>
      </c>
      <c r="L26" s="1329">
        <v>0</v>
      </c>
      <c r="M26" s="1329">
        <v>0</v>
      </c>
      <c r="N26" s="1329">
        <v>0</v>
      </c>
    </row>
    <row r="27" spans="1:14" ht="22.5" x14ac:dyDescent="0.25">
      <c r="A27" s="1330" t="s">
        <v>1215</v>
      </c>
      <c r="B27" s="1321" t="s">
        <v>1216</v>
      </c>
      <c r="C27" s="1329">
        <v>0</v>
      </c>
      <c r="D27" s="1329">
        <v>0</v>
      </c>
      <c r="E27" s="1329">
        <v>0</v>
      </c>
      <c r="F27" s="1329">
        <v>0</v>
      </c>
      <c r="G27" s="1329">
        <v>0</v>
      </c>
      <c r="H27" s="1329">
        <v>0</v>
      </c>
      <c r="I27" s="1329">
        <v>0</v>
      </c>
      <c r="J27" s="1329">
        <v>0</v>
      </c>
      <c r="K27" s="1329">
        <v>0</v>
      </c>
      <c r="L27" s="1329">
        <v>0</v>
      </c>
      <c r="M27" s="1329">
        <v>0</v>
      </c>
      <c r="N27" s="1329">
        <v>0</v>
      </c>
    </row>
    <row r="28" spans="1:14" ht="33.75" x14ac:dyDescent="0.25">
      <c r="A28" s="1330" t="s">
        <v>38</v>
      </c>
      <c r="B28" s="1321" t="s">
        <v>1217</v>
      </c>
      <c r="C28" s="1328">
        <v>434185688</v>
      </c>
      <c r="D28" s="1329">
        <v>0</v>
      </c>
      <c r="E28" s="1328">
        <v>434185688</v>
      </c>
      <c r="F28" s="1328">
        <v>434185688</v>
      </c>
      <c r="G28" s="1329">
        <v>0</v>
      </c>
      <c r="H28" s="1329">
        <v>0</v>
      </c>
      <c r="I28" s="1328">
        <v>434185688</v>
      </c>
      <c r="J28" s="1329">
        <v>0</v>
      </c>
      <c r="K28" s="1328">
        <v>434185688</v>
      </c>
      <c r="L28" s="1328">
        <v>434185688</v>
      </c>
      <c r="M28" s="1329">
        <v>0</v>
      </c>
      <c r="N28" s="1329">
        <v>0</v>
      </c>
    </row>
    <row r="29" spans="1:14" ht="22.5" x14ac:dyDescent="0.25">
      <c r="A29" s="1330" t="s">
        <v>1218</v>
      </c>
      <c r="B29" s="1321" t="s">
        <v>1205</v>
      </c>
      <c r="C29" s="1328">
        <v>75803489</v>
      </c>
      <c r="D29" s="1329">
        <v>0</v>
      </c>
      <c r="E29" s="1328">
        <v>75803489</v>
      </c>
      <c r="F29" s="1328">
        <v>75803489</v>
      </c>
      <c r="G29" s="1329">
        <v>0</v>
      </c>
      <c r="H29" s="1329">
        <v>0</v>
      </c>
      <c r="I29" s="1328">
        <v>75803489</v>
      </c>
      <c r="J29" s="1329">
        <v>0</v>
      </c>
      <c r="K29" s="1328">
        <v>75803489</v>
      </c>
      <c r="L29" s="1328">
        <v>75803489</v>
      </c>
      <c r="M29" s="1329">
        <v>0</v>
      </c>
      <c r="N29" s="1329">
        <v>0</v>
      </c>
    </row>
    <row r="30" spans="1:14" ht="54" customHeight="1" x14ac:dyDescent="0.25">
      <c r="A30" s="3335"/>
      <c r="B30" s="3335" t="s">
        <v>1206</v>
      </c>
      <c r="C30" s="1321"/>
      <c r="D30" s="3332">
        <v>0</v>
      </c>
      <c r="E30" s="3332">
        <v>0</v>
      </c>
      <c r="F30" s="3332">
        <v>0</v>
      </c>
      <c r="G30" s="3332">
        <v>0</v>
      </c>
      <c r="H30" s="3332">
        <v>0</v>
      </c>
      <c r="I30" s="3332">
        <v>0</v>
      </c>
      <c r="J30" s="3332">
        <v>0</v>
      </c>
      <c r="K30" s="3332">
        <v>0</v>
      </c>
      <c r="L30" s="3332">
        <v>0</v>
      </c>
      <c r="M30" s="3332">
        <v>0</v>
      </c>
      <c r="N30" s="3332">
        <v>0</v>
      </c>
    </row>
    <row r="31" spans="1:14" x14ac:dyDescent="0.25">
      <c r="A31" s="3335"/>
      <c r="B31" s="3335"/>
      <c r="C31" s="1329">
        <v>0</v>
      </c>
      <c r="D31" s="3332"/>
      <c r="E31" s="3332"/>
      <c r="F31" s="3332"/>
      <c r="G31" s="3332"/>
      <c r="H31" s="3332"/>
      <c r="I31" s="3332"/>
      <c r="J31" s="3332"/>
      <c r="K31" s="3332"/>
      <c r="L31" s="3332"/>
      <c r="M31" s="3332"/>
      <c r="N31" s="3332"/>
    </row>
    <row r="32" spans="1:14" ht="22.5" x14ac:dyDescent="0.25">
      <c r="A32" s="1330" t="s">
        <v>1219</v>
      </c>
      <c r="B32" s="1321" t="s">
        <v>1208</v>
      </c>
      <c r="C32" s="1329">
        <v>0</v>
      </c>
      <c r="D32" s="1329">
        <v>0</v>
      </c>
      <c r="E32" s="1329">
        <v>0</v>
      </c>
      <c r="F32" s="1329">
        <v>0</v>
      </c>
      <c r="G32" s="1329">
        <v>0</v>
      </c>
      <c r="H32" s="1329">
        <v>0</v>
      </c>
      <c r="I32" s="1329">
        <v>0</v>
      </c>
      <c r="J32" s="1329">
        <v>0</v>
      </c>
      <c r="K32" s="1329">
        <v>0</v>
      </c>
      <c r="L32" s="1329">
        <v>0</v>
      </c>
      <c r="M32" s="1329">
        <v>0</v>
      </c>
      <c r="N32" s="1329">
        <v>0</v>
      </c>
    </row>
    <row r="33" spans="1:14" ht="33.75" x14ac:dyDescent="0.25">
      <c r="A33" s="1321"/>
      <c r="B33" s="1321" t="s">
        <v>1209</v>
      </c>
      <c r="C33" s="1329">
        <v>0</v>
      </c>
      <c r="D33" s="1329">
        <v>0</v>
      </c>
      <c r="E33" s="1329">
        <v>0</v>
      </c>
      <c r="F33" s="1329">
        <v>0</v>
      </c>
      <c r="G33" s="1329">
        <v>0</v>
      </c>
      <c r="H33" s="1329">
        <v>0</v>
      </c>
      <c r="I33" s="1329">
        <v>0</v>
      </c>
      <c r="J33" s="1329">
        <v>0</v>
      </c>
      <c r="K33" s="1329">
        <v>0</v>
      </c>
      <c r="L33" s="1329">
        <v>0</v>
      </c>
      <c r="M33" s="1329">
        <v>0</v>
      </c>
      <c r="N33" s="1329">
        <v>0</v>
      </c>
    </row>
    <row r="34" spans="1:14" x14ac:dyDescent="0.25">
      <c r="A34" s="1330" t="s">
        <v>1220</v>
      </c>
      <c r="B34" s="1321" t="s">
        <v>15</v>
      </c>
      <c r="C34" s="1328">
        <v>358382199</v>
      </c>
      <c r="D34" s="1329">
        <v>0</v>
      </c>
      <c r="E34" s="1328">
        <v>358382199</v>
      </c>
      <c r="F34" s="1328">
        <v>358382199</v>
      </c>
      <c r="G34" s="1329">
        <v>0</v>
      </c>
      <c r="H34" s="1329">
        <v>0</v>
      </c>
      <c r="I34" s="1328">
        <v>358382199</v>
      </c>
      <c r="J34" s="1329">
        <v>0</v>
      </c>
      <c r="K34" s="1328">
        <v>358382199</v>
      </c>
      <c r="L34" s="1328">
        <v>358382199</v>
      </c>
      <c r="M34" s="1329">
        <v>0</v>
      </c>
      <c r="N34" s="1329">
        <v>0</v>
      </c>
    </row>
    <row r="35" spans="1:14" ht="45" x14ac:dyDescent="0.25">
      <c r="A35" s="1321"/>
      <c r="B35" s="1321" t="s">
        <v>1221</v>
      </c>
      <c r="C35" s="1329">
        <v>0</v>
      </c>
      <c r="D35" s="1329">
        <v>0</v>
      </c>
      <c r="E35" s="1329">
        <v>0</v>
      </c>
      <c r="F35" s="1329">
        <v>0</v>
      </c>
      <c r="G35" s="1329">
        <v>0</v>
      </c>
      <c r="H35" s="1329">
        <v>0</v>
      </c>
      <c r="I35" s="1329">
        <v>0</v>
      </c>
      <c r="J35" s="1329">
        <v>0</v>
      </c>
      <c r="K35" s="1329">
        <v>0</v>
      </c>
      <c r="L35" s="1329">
        <v>0</v>
      </c>
      <c r="M35" s="1329">
        <v>0</v>
      </c>
      <c r="N35" s="1329">
        <v>0</v>
      </c>
    </row>
    <row r="36" spans="1:14" x14ac:dyDescent="0.25">
      <c r="A36" s="1330" t="s">
        <v>1222</v>
      </c>
      <c r="B36" s="1321" t="s">
        <v>16</v>
      </c>
      <c r="C36" s="1329">
        <v>0</v>
      </c>
      <c r="D36" s="1329">
        <v>0</v>
      </c>
      <c r="E36" s="1329">
        <v>0</v>
      </c>
      <c r="F36" s="1329">
        <v>0</v>
      </c>
      <c r="G36" s="1329">
        <v>0</v>
      </c>
      <c r="H36" s="1329">
        <v>0</v>
      </c>
      <c r="I36" s="1329">
        <v>0</v>
      </c>
      <c r="J36" s="1329">
        <v>0</v>
      </c>
      <c r="K36" s="1329">
        <v>0</v>
      </c>
      <c r="L36" s="1329">
        <v>0</v>
      </c>
      <c r="M36" s="1329">
        <v>0</v>
      </c>
      <c r="N36" s="1329">
        <v>0</v>
      </c>
    </row>
    <row r="37" spans="1:14" ht="45" x14ac:dyDescent="0.25">
      <c r="A37" s="1321"/>
      <c r="B37" s="1321" t="s">
        <v>1213</v>
      </c>
      <c r="C37" s="1329">
        <v>0</v>
      </c>
      <c r="D37" s="1329">
        <v>0</v>
      </c>
      <c r="E37" s="1329">
        <v>0</v>
      </c>
      <c r="F37" s="1329">
        <v>0</v>
      </c>
      <c r="G37" s="1329">
        <v>0</v>
      </c>
      <c r="H37" s="1329">
        <v>0</v>
      </c>
      <c r="I37" s="1329">
        <v>0</v>
      </c>
      <c r="J37" s="1329">
        <v>0</v>
      </c>
      <c r="K37" s="1329">
        <v>0</v>
      </c>
      <c r="L37" s="1329">
        <v>0</v>
      </c>
      <c r="M37" s="1329">
        <v>0</v>
      </c>
      <c r="N37" s="1329">
        <v>0</v>
      </c>
    </row>
    <row r="38" spans="1:14" ht="22.5" x14ac:dyDescent="0.25">
      <c r="A38" s="1327"/>
      <c r="B38" s="1331" t="s">
        <v>1214</v>
      </c>
      <c r="C38" s="1329">
        <v>0</v>
      </c>
      <c r="D38" s="1329">
        <v>0</v>
      </c>
      <c r="E38" s="1329">
        <v>0</v>
      </c>
      <c r="F38" s="1329">
        <v>0</v>
      </c>
      <c r="G38" s="1329">
        <v>0</v>
      </c>
      <c r="H38" s="1329">
        <v>0</v>
      </c>
      <c r="I38" s="1329">
        <v>0</v>
      </c>
      <c r="J38" s="1329">
        <v>0</v>
      </c>
      <c r="K38" s="1329">
        <v>0</v>
      </c>
      <c r="L38" s="1329">
        <v>0</v>
      </c>
      <c r="M38" s="1329">
        <v>0</v>
      </c>
      <c r="N38" s="1329">
        <v>0</v>
      </c>
    </row>
    <row r="39" spans="1:14" ht="22.5" x14ac:dyDescent="0.25">
      <c r="A39" s="1330" t="s">
        <v>1223</v>
      </c>
      <c r="B39" s="1321" t="s">
        <v>1216</v>
      </c>
      <c r="C39" s="1329">
        <v>0</v>
      </c>
      <c r="D39" s="1329">
        <v>0</v>
      </c>
      <c r="E39" s="1329">
        <v>0</v>
      </c>
      <c r="F39" s="1329">
        <v>0</v>
      </c>
      <c r="G39" s="1329">
        <v>0</v>
      </c>
      <c r="H39" s="1329">
        <v>0</v>
      </c>
      <c r="I39" s="1329">
        <v>0</v>
      </c>
      <c r="J39" s="1329">
        <v>0</v>
      </c>
      <c r="K39" s="1329">
        <v>0</v>
      </c>
      <c r="L39" s="1329">
        <v>0</v>
      </c>
      <c r="M39" s="1329">
        <v>0</v>
      </c>
      <c r="N39" s="1329">
        <v>0</v>
      </c>
    </row>
    <row r="40" spans="1:14" ht="22.5" x14ac:dyDescent="0.25">
      <c r="A40" s="1330">
        <v>2</v>
      </c>
      <c r="B40" s="1321" t="s">
        <v>1224</v>
      </c>
      <c r="C40" s="1329">
        <v>0</v>
      </c>
      <c r="D40" s="1329">
        <v>0</v>
      </c>
      <c r="E40" s="1329">
        <v>0</v>
      </c>
      <c r="F40" s="1329">
        <v>0</v>
      </c>
      <c r="G40" s="1329">
        <v>0</v>
      </c>
      <c r="H40" s="1329">
        <v>0</v>
      </c>
      <c r="I40" s="1329">
        <v>0</v>
      </c>
      <c r="J40" s="1329">
        <v>0</v>
      </c>
      <c r="K40" s="1329">
        <v>0</v>
      </c>
      <c r="L40" s="1329">
        <v>0</v>
      </c>
      <c r="M40" s="1329">
        <v>0</v>
      </c>
      <c r="N40" s="1329">
        <v>0</v>
      </c>
    </row>
    <row r="41" spans="1:14" ht="22.5" x14ac:dyDescent="0.25">
      <c r="A41" s="1330" t="s">
        <v>43</v>
      </c>
      <c r="B41" s="1321" t="s">
        <v>1205</v>
      </c>
      <c r="C41" s="1329">
        <v>0</v>
      </c>
      <c r="D41" s="1329">
        <v>0</v>
      </c>
      <c r="E41" s="1329">
        <v>0</v>
      </c>
      <c r="F41" s="1329">
        <v>0</v>
      </c>
      <c r="G41" s="1329">
        <v>0</v>
      </c>
      <c r="H41" s="1329">
        <v>0</v>
      </c>
      <c r="I41" s="1329">
        <v>0</v>
      </c>
      <c r="J41" s="1329">
        <v>0</v>
      </c>
      <c r="K41" s="1329">
        <v>0</v>
      </c>
      <c r="L41" s="1329">
        <v>0</v>
      </c>
      <c r="M41" s="1329">
        <v>0</v>
      </c>
      <c r="N41" s="1329">
        <v>0</v>
      </c>
    </row>
    <row r="42" spans="1:14" ht="48" customHeight="1" x14ac:dyDescent="0.25">
      <c r="A42" s="3335"/>
      <c r="B42" s="3335" t="s">
        <v>1206</v>
      </c>
      <c r="C42" s="1321"/>
      <c r="D42" s="3332">
        <v>0</v>
      </c>
      <c r="E42" s="3332">
        <v>0</v>
      </c>
      <c r="F42" s="3332">
        <v>0</v>
      </c>
      <c r="G42" s="3332">
        <v>0</v>
      </c>
      <c r="H42" s="3332">
        <v>0</v>
      </c>
      <c r="I42" s="3332">
        <v>0</v>
      </c>
      <c r="J42" s="3332">
        <v>0</v>
      </c>
      <c r="K42" s="3332">
        <v>0</v>
      </c>
      <c r="L42" s="3332">
        <v>0</v>
      </c>
      <c r="M42" s="3332">
        <v>0</v>
      </c>
      <c r="N42" s="3332">
        <v>0</v>
      </c>
    </row>
    <row r="43" spans="1:14" x14ac:dyDescent="0.25">
      <c r="A43" s="3335"/>
      <c r="B43" s="3335"/>
      <c r="C43" s="1329">
        <v>0</v>
      </c>
      <c r="D43" s="3332"/>
      <c r="E43" s="3332"/>
      <c r="F43" s="3332"/>
      <c r="G43" s="3332"/>
      <c r="H43" s="3332"/>
      <c r="I43" s="3332"/>
      <c r="J43" s="3332"/>
      <c r="K43" s="3332"/>
      <c r="L43" s="3332"/>
      <c r="M43" s="3332"/>
      <c r="N43" s="3332"/>
    </row>
    <row r="44" spans="1:14" ht="22.5" x14ac:dyDescent="0.25">
      <c r="A44" s="1330" t="s">
        <v>44</v>
      </c>
      <c r="B44" s="1321" t="s">
        <v>1208</v>
      </c>
      <c r="C44" s="1329">
        <v>0</v>
      </c>
      <c r="D44" s="1329">
        <v>0</v>
      </c>
      <c r="E44" s="1329">
        <v>0</v>
      </c>
      <c r="F44" s="1329">
        <v>0</v>
      </c>
      <c r="G44" s="1329">
        <v>0</v>
      </c>
      <c r="H44" s="1329">
        <v>0</v>
      </c>
      <c r="I44" s="1329">
        <v>0</v>
      </c>
      <c r="J44" s="1329">
        <v>0</v>
      </c>
      <c r="K44" s="1329">
        <v>0</v>
      </c>
      <c r="L44" s="1329">
        <v>0</v>
      </c>
      <c r="M44" s="1329">
        <v>0</v>
      </c>
      <c r="N44" s="1329">
        <v>0</v>
      </c>
    </row>
    <row r="45" spans="1:14" ht="33.75" x14ac:dyDescent="0.25">
      <c r="A45" s="1321"/>
      <c r="B45" s="1321" t="s">
        <v>1209</v>
      </c>
      <c r="C45" s="1329">
        <v>0</v>
      </c>
      <c r="D45" s="1329">
        <v>0</v>
      </c>
      <c r="E45" s="1329">
        <v>0</v>
      </c>
      <c r="F45" s="1329">
        <v>0</v>
      </c>
      <c r="G45" s="1329">
        <v>0</v>
      </c>
      <c r="H45" s="1329">
        <v>0</v>
      </c>
      <c r="I45" s="1329">
        <v>0</v>
      </c>
      <c r="J45" s="1329">
        <v>0</v>
      </c>
      <c r="K45" s="1329">
        <v>0</v>
      </c>
      <c r="L45" s="1329">
        <v>0</v>
      </c>
      <c r="M45" s="1329">
        <v>0</v>
      </c>
      <c r="N45" s="1329">
        <v>0</v>
      </c>
    </row>
    <row r="46" spans="1:14" x14ac:dyDescent="0.25">
      <c r="A46" s="1330" t="s">
        <v>51</v>
      </c>
      <c r="B46" s="1321" t="s">
        <v>15</v>
      </c>
      <c r="C46" s="1329">
        <v>0</v>
      </c>
      <c r="D46" s="1329">
        <v>0</v>
      </c>
      <c r="E46" s="1329">
        <v>0</v>
      </c>
      <c r="F46" s="1329">
        <v>0</v>
      </c>
      <c r="G46" s="1329">
        <v>0</v>
      </c>
      <c r="H46" s="1329">
        <v>0</v>
      </c>
      <c r="I46" s="1329">
        <v>0</v>
      </c>
      <c r="J46" s="1329">
        <v>0</v>
      </c>
      <c r="K46" s="1329">
        <v>0</v>
      </c>
      <c r="L46" s="1329">
        <v>0</v>
      </c>
      <c r="M46" s="1329">
        <v>0</v>
      </c>
      <c r="N46" s="1329">
        <v>0</v>
      </c>
    </row>
    <row r="47" spans="1:14" ht="45" x14ac:dyDescent="0.25">
      <c r="A47" s="1321"/>
      <c r="B47" s="1321" t="s">
        <v>1221</v>
      </c>
      <c r="C47" s="1329">
        <v>0</v>
      </c>
      <c r="D47" s="1329">
        <v>0</v>
      </c>
      <c r="E47" s="1329">
        <v>0</v>
      </c>
      <c r="F47" s="1329">
        <v>0</v>
      </c>
      <c r="G47" s="1329">
        <v>0</v>
      </c>
      <c r="H47" s="1329">
        <v>0</v>
      </c>
      <c r="I47" s="1329">
        <v>0</v>
      </c>
      <c r="J47" s="1329">
        <v>0</v>
      </c>
      <c r="K47" s="1329">
        <v>0</v>
      </c>
      <c r="L47" s="1329">
        <v>0</v>
      </c>
      <c r="M47" s="1329">
        <v>0</v>
      </c>
      <c r="N47" s="1329">
        <v>0</v>
      </c>
    </row>
    <row r="48" spans="1:14" x14ac:dyDescent="0.25">
      <c r="A48" s="1330" t="s">
        <v>130</v>
      </c>
      <c r="B48" s="1321" t="s">
        <v>16</v>
      </c>
      <c r="C48" s="1329">
        <v>0</v>
      </c>
      <c r="D48" s="1329">
        <v>0</v>
      </c>
      <c r="E48" s="1329">
        <v>0</v>
      </c>
      <c r="F48" s="1329">
        <v>0</v>
      </c>
      <c r="G48" s="1329">
        <v>0</v>
      </c>
      <c r="H48" s="1329">
        <v>0</v>
      </c>
      <c r="I48" s="1329">
        <v>0</v>
      </c>
      <c r="J48" s="1329">
        <v>0</v>
      </c>
      <c r="K48" s="1329">
        <v>0</v>
      </c>
      <c r="L48" s="1329">
        <v>0</v>
      </c>
      <c r="M48" s="1329">
        <v>0</v>
      </c>
      <c r="N48" s="1329">
        <v>0</v>
      </c>
    </row>
    <row r="49" spans="1:14" x14ac:dyDescent="0.25">
      <c r="A49" s="1332"/>
      <c r="B49" s="520"/>
      <c r="C49" s="520"/>
      <c r="D49" s="520"/>
      <c r="E49" s="520"/>
      <c r="F49" s="520"/>
      <c r="G49" s="520"/>
      <c r="H49" s="520"/>
      <c r="I49" s="520"/>
      <c r="J49" s="520"/>
      <c r="K49" s="520"/>
      <c r="L49" s="520"/>
      <c r="M49" s="520"/>
      <c r="N49" s="520"/>
    </row>
    <row r="50" spans="1:14" ht="45" x14ac:dyDescent="0.25">
      <c r="A50" s="1321"/>
      <c r="B50" s="1321" t="s">
        <v>1213</v>
      </c>
      <c r="C50" s="1329">
        <v>0</v>
      </c>
      <c r="D50" s="1329">
        <v>0</v>
      </c>
      <c r="E50" s="1329">
        <v>0</v>
      </c>
      <c r="F50" s="1329">
        <v>0</v>
      </c>
      <c r="G50" s="1329">
        <v>0</v>
      </c>
      <c r="H50" s="1329">
        <v>0</v>
      </c>
      <c r="I50" s="1329">
        <v>0</v>
      </c>
      <c r="J50" s="1329">
        <v>0</v>
      </c>
      <c r="K50" s="1329">
        <v>0</v>
      </c>
      <c r="L50" s="1329">
        <v>0</v>
      </c>
      <c r="M50" s="1329">
        <v>0</v>
      </c>
      <c r="N50" s="1329">
        <v>0</v>
      </c>
    </row>
    <row r="51" spans="1:14" ht="22.5" x14ac:dyDescent="0.25">
      <c r="A51" s="1327"/>
      <c r="B51" s="1331" t="s">
        <v>1214</v>
      </c>
      <c r="C51" s="1329">
        <v>0</v>
      </c>
      <c r="D51" s="1329">
        <v>0</v>
      </c>
      <c r="E51" s="1329">
        <v>0</v>
      </c>
      <c r="F51" s="1329">
        <v>0</v>
      </c>
      <c r="G51" s="1329">
        <v>0</v>
      </c>
      <c r="H51" s="1329">
        <v>0</v>
      </c>
      <c r="I51" s="1329">
        <v>0</v>
      </c>
      <c r="J51" s="1329">
        <v>0</v>
      </c>
      <c r="K51" s="1329">
        <v>0</v>
      </c>
      <c r="L51" s="1329">
        <v>0</v>
      </c>
      <c r="M51" s="1329">
        <v>0</v>
      </c>
      <c r="N51" s="1329">
        <v>0</v>
      </c>
    </row>
    <row r="52" spans="1:14" ht="22.5" x14ac:dyDescent="0.25">
      <c r="A52" s="1330" t="s">
        <v>131</v>
      </c>
      <c r="B52" s="1321" t="s">
        <v>1225</v>
      </c>
      <c r="C52" s="1329">
        <v>0</v>
      </c>
      <c r="D52" s="1329">
        <v>0</v>
      </c>
      <c r="E52" s="1329">
        <v>0</v>
      </c>
      <c r="F52" s="1329">
        <v>0</v>
      </c>
      <c r="G52" s="1329">
        <v>0</v>
      </c>
      <c r="H52" s="1329">
        <v>0</v>
      </c>
      <c r="I52" s="1329">
        <v>0</v>
      </c>
      <c r="J52" s="1329">
        <v>0</v>
      </c>
      <c r="K52" s="1329">
        <v>0</v>
      </c>
      <c r="L52" s="1329">
        <v>0</v>
      </c>
      <c r="M52" s="1329">
        <v>0</v>
      </c>
      <c r="N52" s="1329">
        <v>0</v>
      </c>
    </row>
    <row r="53" spans="1:14" ht="22.5" x14ac:dyDescent="0.25">
      <c r="A53" s="1330">
        <v>3</v>
      </c>
      <c r="B53" s="1321" t="s">
        <v>1226</v>
      </c>
      <c r="C53" s="1328">
        <v>12386326188</v>
      </c>
      <c r="D53" s="1329">
        <v>0</v>
      </c>
      <c r="E53" s="1328">
        <v>12386326188</v>
      </c>
      <c r="F53" s="1328">
        <v>12386326188</v>
      </c>
      <c r="G53" s="1329">
        <v>0</v>
      </c>
      <c r="H53" s="1329">
        <v>0</v>
      </c>
      <c r="I53" s="1328">
        <v>12386326188</v>
      </c>
      <c r="J53" s="1329">
        <v>0</v>
      </c>
      <c r="K53" s="1328">
        <v>12386326188</v>
      </c>
      <c r="L53" s="1328">
        <v>12386326188</v>
      </c>
      <c r="M53" s="1329">
        <v>0</v>
      </c>
      <c r="N53" s="1329">
        <v>0</v>
      </c>
    </row>
    <row r="54" spans="1:14" ht="22.5" x14ac:dyDescent="0.25">
      <c r="A54" s="1330" t="s">
        <v>573</v>
      </c>
      <c r="B54" s="1321" t="s">
        <v>1205</v>
      </c>
      <c r="C54" s="1328">
        <v>10545970664</v>
      </c>
      <c r="D54" s="1329">
        <v>0</v>
      </c>
      <c r="E54" s="1328">
        <v>10545970664</v>
      </c>
      <c r="F54" s="1328">
        <v>10545970664</v>
      </c>
      <c r="G54" s="1329">
        <v>0</v>
      </c>
      <c r="H54" s="1329">
        <v>0</v>
      </c>
      <c r="I54" s="1328">
        <v>10545970664</v>
      </c>
      <c r="J54" s="1329">
        <v>0</v>
      </c>
      <c r="K54" s="1328">
        <v>10545970664</v>
      </c>
      <c r="L54" s="1328">
        <v>10545970664</v>
      </c>
      <c r="M54" s="1329">
        <v>0</v>
      </c>
      <c r="N54" s="1329">
        <v>0</v>
      </c>
    </row>
    <row r="55" spans="1:14" ht="25.5" customHeight="1" x14ac:dyDescent="0.25">
      <c r="A55" s="3335"/>
      <c r="B55" s="3335" t="s">
        <v>1206</v>
      </c>
      <c r="C55" s="1321"/>
      <c r="D55" s="3332">
        <v>0</v>
      </c>
      <c r="E55" s="3332">
        <v>0</v>
      </c>
      <c r="F55" s="3332">
        <v>0</v>
      </c>
      <c r="G55" s="3332">
        <v>0</v>
      </c>
      <c r="H55" s="3332">
        <v>0</v>
      </c>
      <c r="I55" s="3332">
        <v>0</v>
      </c>
      <c r="J55" s="3332">
        <v>0</v>
      </c>
      <c r="K55" s="3332">
        <v>0</v>
      </c>
      <c r="L55" s="3332">
        <v>0</v>
      </c>
      <c r="M55" s="3332">
        <v>0</v>
      </c>
      <c r="N55" s="3332">
        <v>0</v>
      </c>
    </row>
    <row r="56" spans="1:14" x14ac:dyDescent="0.25">
      <c r="A56" s="3335"/>
      <c r="B56" s="3335"/>
      <c r="C56" s="1329">
        <v>0</v>
      </c>
      <c r="D56" s="3332"/>
      <c r="E56" s="3332"/>
      <c r="F56" s="3332"/>
      <c r="G56" s="3332"/>
      <c r="H56" s="3332"/>
      <c r="I56" s="3332"/>
      <c r="J56" s="3332"/>
      <c r="K56" s="3332"/>
      <c r="L56" s="3332"/>
      <c r="M56" s="3332"/>
      <c r="N56" s="3332"/>
    </row>
    <row r="57" spans="1:14" ht="22.5" x14ac:dyDescent="0.25">
      <c r="A57" s="1330" t="s">
        <v>574</v>
      </c>
      <c r="B57" s="1321" t="s">
        <v>1208</v>
      </c>
      <c r="C57" s="1328">
        <v>135954907</v>
      </c>
      <c r="D57" s="1329">
        <v>0</v>
      </c>
      <c r="E57" s="1328">
        <v>135954907</v>
      </c>
      <c r="F57" s="1328">
        <v>135954907</v>
      </c>
      <c r="G57" s="1329">
        <v>0</v>
      </c>
      <c r="H57" s="1329">
        <v>0</v>
      </c>
      <c r="I57" s="1328">
        <v>135954907</v>
      </c>
      <c r="J57" s="1329">
        <v>0</v>
      </c>
      <c r="K57" s="1328">
        <v>135954907</v>
      </c>
      <c r="L57" s="1328">
        <v>135954907</v>
      </c>
      <c r="M57" s="1329">
        <v>0</v>
      </c>
      <c r="N57" s="1329">
        <v>0</v>
      </c>
    </row>
    <row r="58" spans="1:14" ht="33.75" x14ac:dyDescent="0.25">
      <c r="A58" s="1321"/>
      <c r="B58" s="1321" t="s">
        <v>1209</v>
      </c>
      <c r="C58" s="1329">
        <v>0</v>
      </c>
      <c r="D58" s="1329">
        <v>0</v>
      </c>
      <c r="E58" s="1329">
        <v>0</v>
      </c>
      <c r="F58" s="1329">
        <v>0</v>
      </c>
      <c r="G58" s="1329">
        <v>0</v>
      </c>
      <c r="H58" s="1329">
        <v>0</v>
      </c>
      <c r="I58" s="1329">
        <v>0</v>
      </c>
      <c r="J58" s="1329">
        <v>0</v>
      </c>
      <c r="K58" s="1329">
        <v>0</v>
      </c>
      <c r="L58" s="1329">
        <v>0</v>
      </c>
      <c r="M58" s="1329">
        <v>0</v>
      </c>
      <c r="N58" s="1329">
        <v>0</v>
      </c>
    </row>
    <row r="59" spans="1:14" x14ac:dyDescent="0.25">
      <c r="A59" s="1330" t="s">
        <v>1227</v>
      </c>
      <c r="B59" s="1321" t="s">
        <v>15</v>
      </c>
      <c r="C59" s="1328">
        <v>188652586</v>
      </c>
      <c r="D59" s="1329">
        <v>0</v>
      </c>
      <c r="E59" s="1328">
        <v>188652586</v>
      </c>
      <c r="F59" s="1328">
        <v>188652586</v>
      </c>
      <c r="G59" s="1329">
        <v>0</v>
      </c>
      <c r="H59" s="1329">
        <v>0</v>
      </c>
      <c r="I59" s="1328">
        <v>188652586</v>
      </c>
      <c r="J59" s="1329">
        <v>0</v>
      </c>
      <c r="K59" s="1328">
        <v>188652586</v>
      </c>
      <c r="L59" s="1328">
        <v>188652586</v>
      </c>
      <c r="M59" s="1329">
        <v>0</v>
      </c>
      <c r="N59" s="1329">
        <v>0</v>
      </c>
    </row>
    <row r="60" spans="1:14" ht="45" x14ac:dyDescent="0.25">
      <c r="A60" s="1321"/>
      <c r="B60" s="1321" t="s">
        <v>1221</v>
      </c>
      <c r="C60" s="1329">
        <v>0</v>
      </c>
      <c r="D60" s="1329">
        <v>0</v>
      </c>
      <c r="E60" s="1329">
        <v>0</v>
      </c>
      <c r="F60" s="1329">
        <v>0</v>
      </c>
      <c r="G60" s="1329">
        <v>0</v>
      </c>
      <c r="H60" s="1329">
        <v>0</v>
      </c>
      <c r="I60" s="1329">
        <v>0</v>
      </c>
      <c r="J60" s="1329">
        <v>0</v>
      </c>
      <c r="K60" s="1329">
        <v>0</v>
      </c>
      <c r="L60" s="1329">
        <v>0</v>
      </c>
      <c r="M60" s="1329">
        <v>0</v>
      </c>
      <c r="N60" s="1329">
        <v>0</v>
      </c>
    </row>
    <row r="61" spans="1:14" x14ac:dyDescent="0.25">
      <c r="A61" s="1330" t="s">
        <v>1228</v>
      </c>
      <c r="B61" s="1321" t="s">
        <v>16</v>
      </c>
      <c r="C61" s="1328">
        <v>1515748031</v>
      </c>
      <c r="D61" s="1329">
        <v>0</v>
      </c>
      <c r="E61" s="1328">
        <v>1515748031</v>
      </c>
      <c r="F61" s="1328">
        <v>1515748031</v>
      </c>
      <c r="G61" s="1329">
        <v>0</v>
      </c>
      <c r="H61" s="1329">
        <v>0</v>
      </c>
      <c r="I61" s="1328">
        <v>1515748031</v>
      </c>
      <c r="J61" s="1329">
        <v>0</v>
      </c>
      <c r="K61" s="1328">
        <v>1515748031</v>
      </c>
      <c r="L61" s="1328">
        <v>1515748031</v>
      </c>
      <c r="M61" s="1329">
        <v>0</v>
      </c>
      <c r="N61" s="1329">
        <v>0</v>
      </c>
    </row>
    <row r="62" spans="1:14" ht="45" x14ac:dyDescent="0.25">
      <c r="A62" s="1321"/>
      <c r="B62" s="1321" t="s">
        <v>1213</v>
      </c>
      <c r="C62" s="1329">
        <v>0</v>
      </c>
      <c r="D62" s="1329">
        <v>0</v>
      </c>
      <c r="E62" s="1329">
        <v>0</v>
      </c>
      <c r="F62" s="1329">
        <v>0</v>
      </c>
      <c r="G62" s="1329">
        <v>0</v>
      </c>
      <c r="H62" s="1329">
        <v>0</v>
      </c>
      <c r="I62" s="1329">
        <v>0</v>
      </c>
      <c r="J62" s="1329">
        <v>0</v>
      </c>
      <c r="K62" s="1329">
        <v>0</v>
      </c>
      <c r="L62" s="1329">
        <v>0</v>
      </c>
      <c r="M62" s="1329">
        <v>0</v>
      </c>
      <c r="N62" s="1329">
        <v>0</v>
      </c>
    </row>
    <row r="63" spans="1:14" ht="22.5" x14ac:dyDescent="0.25">
      <c r="A63" s="1327"/>
      <c r="B63" s="1331" t="s">
        <v>1214</v>
      </c>
      <c r="C63" s="1328">
        <v>233292257</v>
      </c>
      <c r="D63" s="1329">
        <v>0</v>
      </c>
      <c r="E63" s="1328">
        <v>233292257</v>
      </c>
      <c r="F63" s="1328">
        <v>233292257</v>
      </c>
      <c r="G63" s="1329">
        <v>0</v>
      </c>
      <c r="H63" s="1329">
        <v>0</v>
      </c>
      <c r="I63" s="1328">
        <v>233292257</v>
      </c>
      <c r="J63" s="1329">
        <v>0</v>
      </c>
      <c r="K63" s="1328">
        <v>233292257</v>
      </c>
      <c r="L63" s="1328">
        <v>233292257</v>
      </c>
      <c r="M63" s="1329">
        <v>0</v>
      </c>
      <c r="N63" s="1329">
        <v>0</v>
      </c>
    </row>
    <row r="64" spans="1:14" ht="22.5" x14ac:dyDescent="0.25">
      <c r="A64" s="1330" t="s">
        <v>1229</v>
      </c>
      <c r="B64" s="1321" t="s">
        <v>1225</v>
      </c>
      <c r="C64" s="1329">
        <v>0</v>
      </c>
      <c r="D64" s="1329">
        <v>0</v>
      </c>
      <c r="E64" s="1329">
        <v>0</v>
      </c>
      <c r="F64" s="1329">
        <v>0</v>
      </c>
      <c r="G64" s="1329">
        <v>0</v>
      </c>
      <c r="H64" s="1329">
        <v>0</v>
      </c>
      <c r="I64" s="1329">
        <v>0</v>
      </c>
      <c r="J64" s="1329">
        <v>0</v>
      </c>
      <c r="K64" s="1329">
        <v>0</v>
      </c>
      <c r="L64" s="1329">
        <v>0</v>
      </c>
      <c r="M64" s="1329">
        <v>0</v>
      </c>
      <c r="N64" s="1329">
        <v>0</v>
      </c>
    </row>
    <row r="65" spans="1:14" x14ac:dyDescent="0.25">
      <c r="A65" s="1330">
        <v>4</v>
      </c>
      <c r="B65" s="1321" t="s">
        <v>8</v>
      </c>
      <c r="C65" s="1328">
        <v>8968980148</v>
      </c>
      <c r="D65" s="1329">
        <v>0</v>
      </c>
      <c r="E65" s="1328">
        <v>8968980148</v>
      </c>
      <c r="F65" s="1328">
        <v>8968980148</v>
      </c>
      <c r="G65" s="1329">
        <v>0</v>
      </c>
      <c r="H65" s="1329">
        <v>0</v>
      </c>
      <c r="I65" s="1328">
        <v>8968980148</v>
      </c>
      <c r="J65" s="1329">
        <v>0</v>
      </c>
      <c r="K65" s="1328">
        <v>8968980148</v>
      </c>
      <c r="L65" s="1328">
        <v>8968980148</v>
      </c>
      <c r="M65" s="1329">
        <v>0</v>
      </c>
      <c r="N65" s="1329">
        <v>0</v>
      </c>
    </row>
    <row r="66" spans="1:14" ht="22.5" x14ac:dyDescent="0.25">
      <c r="A66" s="1330">
        <v>5</v>
      </c>
      <c r="B66" s="1321" t="s">
        <v>1230</v>
      </c>
      <c r="C66" s="1329">
        <v>0</v>
      </c>
      <c r="D66" s="1329">
        <v>0</v>
      </c>
      <c r="E66" s="1329">
        <v>0</v>
      </c>
      <c r="F66" s="1329">
        <v>0</v>
      </c>
      <c r="G66" s="1329">
        <v>0</v>
      </c>
      <c r="H66" s="1329">
        <v>0</v>
      </c>
      <c r="I66" s="1329">
        <v>0</v>
      </c>
      <c r="J66" s="1329">
        <v>0</v>
      </c>
      <c r="K66" s="1329">
        <v>0</v>
      </c>
      <c r="L66" s="1329">
        <v>0</v>
      </c>
      <c r="M66" s="1329">
        <v>0</v>
      </c>
      <c r="N66" s="1329">
        <v>0</v>
      </c>
    </row>
    <row r="67" spans="1:14" ht="22.5" x14ac:dyDescent="0.25">
      <c r="A67" s="1327"/>
      <c r="B67" s="1321" t="s">
        <v>1231</v>
      </c>
      <c r="C67" s="1329">
        <v>0</v>
      </c>
      <c r="D67" s="1329">
        <v>0</v>
      </c>
      <c r="E67" s="1329">
        <v>0</v>
      </c>
      <c r="F67" s="1329">
        <v>0</v>
      </c>
      <c r="G67" s="1329">
        <v>0</v>
      </c>
      <c r="H67" s="1329">
        <v>0</v>
      </c>
      <c r="I67" s="1329">
        <v>0</v>
      </c>
      <c r="J67" s="1329">
        <v>0</v>
      </c>
      <c r="K67" s="1329">
        <v>0</v>
      </c>
      <c r="L67" s="1329">
        <v>0</v>
      </c>
      <c r="M67" s="1329">
        <v>0</v>
      </c>
      <c r="N67" s="1329">
        <v>0</v>
      </c>
    </row>
    <row r="68" spans="1:14" ht="22.5" x14ac:dyDescent="0.25">
      <c r="A68" s="1327"/>
      <c r="B68" s="1333" t="s">
        <v>1232</v>
      </c>
      <c r="C68" s="1329">
        <v>0</v>
      </c>
      <c r="D68" s="1329">
        <v>0</v>
      </c>
      <c r="E68" s="1329">
        <v>0</v>
      </c>
      <c r="F68" s="1329">
        <v>0</v>
      </c>
      <c r="G68" s="1329">
        <v>0</v>
      </c>
      <c r="H68" s="1329">
        <v>0</v>
      </c>
      <c r="I68" s="1329">
        <v>0</v>
      </c>
      <c r="J68" s="1329">
        <v>0</v>
      </c>
      <c r="K68" s="1329">
        <v>0</v>
      </c>
      <c r="L68" s="1329">
        <v>0</v>
      </c>
      <c r="M68" s="1329">
        <v>0</v>
      </c>
      <c r="N68" s="1329">
        <v>0</v>
      </c>
    </row>
    <row r="69" spans="1:14" x14ac:dyDescent="0.25">
      <c r="A69" s="1330">
        <v>6</v>
      </c>
      <c r="B69" s="1321" t="s">
        <v>9</v>
      </c>
      <c r="C69" s="1328">
        <v>13706721079</v>
      </c>
      <c r="D69" s="1329">
        <v>0</v>
      </c>
      <c r="E69" s="1328">
        <v>13706721079</v>
      </c>
      <c r="F69" s="1328">
        <v>13706721079</v>
      </c>
      <c r="G69" s="1329">
        <v>0</v>
      </c>
      <c r="H69" s="1329">
        <v>0</v>
      </c>
      <c r="I69" s="1328">
        <v>13706721079</v>
      </c>
      <c r="J69" s="1329">
        <v>0</v>
      </c>
      <c r="K69" s="1328">
        <v>13706721079</v>
      </c>
      <c r="L69" s="1328">
        <v>13706721079</v>
      </c>
      <c r="M69" s="1329">
        <v>0</v>
      </c>
      <c r="N69" s="1329">
        <v>0</v>
      </c>
    </row>
    <row r="70" spans="1:14" x14ac:dyDescent="0.25">
      <c r="A70" s="1330">
        <v>7</v>
      </c>
      <c r="B70" s="1321" t="s">
        <v>1233</v>
      </c>
      <c r="C70" s="1328">
        <v>1679839365</v>
      </c>
      <c r="D70" s="1328">
        <v>111009498</v>
      </c>
      <c r="E70" s="1328">
        <v>1568829867</v>
      </c>
      <c r="F70" s="1328">
        <v>1568829867</v>
      </c>
      <c r="G70" s="1329">
        <v>0</v>
      </c>
      <c r="H70" s="1329">
        <v>0</v>
      </c>
      <c r="I70" s="1328">
        <v>1679839365</v>
      </c>
      <c r="J70" s="1328">
        <v>111009498</v>
      </c>
      <c r="K70" s="1328">
        <v>1568829867</v>
      </c>
      <c r="L70" s="1328">
        <v>1568829867</v>
      </c>
      <c r="M70" s="1329">
        <v>0</v>
      </c>
      <c r="N70" s="1329">
        <v>0</v>
      </c>
    </row>
    <row r="71" spans="1:14" ht="22.5" x14ac:dyDescent="0.25">
      <c r="A71" s="1327"/>
      <c r="B71" s="1321" t="s">
        <v>1234</v>
      </c>
      <c r="C71" s="1328">
        <v>54223589</v>
      </c>
      <c r="D71" s="1329">
        <v>0</v>
      </c>
      <c r="E71" s="1328">
        <v>54223589</v>
      </c>
      <c r="F71" s="1328">
        <v>54223589</v>
      </c>
      <c r="G71" s="1329">
        <v>0</v>
      </c>
      <c r="H71" s="1329">
        <v>0</v>
      </c>
      <c r="I71" s="1328">
        <v>54223589</v>
      </c>
      <c r="J71" s="1329">
        <v>0</v>
      </c>
      <c r="K71" s="1328">
        <v>54223589</v>
      </c>
      <c r="L71" s="1328">
        <v>54223589</v>
      </c>
      <c r="M71" s="1329">
        <v>0</v>
      </c>
      <c r="N71" s="1329">
        <v>0</v>
      </c>
    </row>
    <row r="72" spans="1:14" ht="22.5" x14ac:dyDescent="0.25">
      <c r="A72" s="1327"/>
      <c r="B72" s="1333" t="s">
        <v>1235</v>
      </c>
      <c r="C72" s="1329">
        <v>0</v>
      </c>
      <c r="D72" s="1329">
        <v>0</v>
      </c>
      <c r="E72" s="1329">
        <v>0</v>
      </c>
      <c r="F72" s="1329">
        <v>0</v>
      </c>
      <c r="G72" s="1329">
        <v>0</v>
      </c>
      <c r="H72" s="1329">
        <v>0</v>
      </c>
      <c r="I72" s="1329">
        <v>0</v>
      </c>
      <c r="J72" s="1329">
        <v>0</v>
      </c>
      <c r="K72" s="1329">
        <v>0</v>
      </c>
      <c r="L72" s="1329">
        <v>0</v>
      </c>
      <c r="M72" s="1329">
        <v>0</v>
      </c>
      <c r="N72" s="1329">
        <v>0</v>
      </c>
    </row>
    <row r="73" spans="1:14" ht="22.5" x14ac:dyDescent="0.25">
      <c r="A73" s="1327"/>
      <c r="B73" s="1333" t="s">
        <v>1236</v>
      </c>
      <c r="C73" s="1328">
        <v>1123266160</v>
      </c>
      <c r="D73" s="1329">
        <v>0</v>
      </c>
      <c r="E73" s="1328">
        <v>1123266160</v>
      </c>
      <c r="F73" s="1328">
        <v>1123266160</v>
      </c>
      <c r="G73" s="1329">
        <v>0</v>
      </c>
      <c r="H73" s="1329">
        <v>0</v>
      </c>
      <c r="I73" s="1328">
        <v>1123266160</v>
      </c>
      <c r="J73" s="1329">
        <v>0</v>
      </c>
      <c r="K73" s="1328">
        <v>1123266160</v>
      </c>
      <c r="L73" s="1328">
        <v>1123266160</v>
      </c>
      <c r="M73" s="1329">
        <v>0</v>
      </c>
      <c r="N73" s="1329">
        <v>0</v>
      </c>
    </row>
    <row r="74" spans="1:14" x14ac:dyDescent="0.25">
      <c r="A74" s="1327"/>
      <c r="B74" s="1333" t="s">
        <v>1237</v>
      </c>
      <c r="C74" s="1329">
        <v>0</v>
      </c>
      <c r="D74" s="1329">
        <v>0</v>
      </c>
      <c r="E74" s="1329">
        <v>0</v>
      </c>
      <c r="F74" s="1329">
        <v>0</v>
      </c>
      <c r="G74" s="1329">
        <v>0</v>
      </c>
      <c r="H74" s="1329">
        <v>0</v>
      </c>
      <c r="I74" s="1329">
        <v>0</v>
      </c>
      <c r="J74" s="1329">
        <v>0</v>
      </c>
      <c r="K74" s="1329">
        <v>0</v>
      </c>
      <c r="L74" s="1329">
        <v>0</v>
      </c>
      <c r="M74" s="1329">
        <v>0</v>
      </c>
      <c r="N74" s="1329">
        <v>0</v>
      </c>
    </row>
    <row r="75" spans="1:14" ht="45" x14ac:dyDescent="0.25">
      <c r="A75" s="1321"/>
      <c r="B75" s="1321" t="s">
        <v>1238</v>
      </c>
      <c r="C75" s="1329" t="s">
        <v>1239</v>
      </c>
      <c r="D75" s="1329">
        <v>0</v>
      </c>
      <c r="E75" s="1329">
        <v>0</v>
      </c>
      <c r="F75" s="1329">
        <v>0</v>
      </c>
      <c r="G75" s="1329">
        <v>0</v>
      </c>
      <c r="H75" s="1329">
        <v>0</v>
      </c>
      <c r="I75" s="1329">
        <v>0</v>
      </c>
      <c r="J75" s="1329">
        <v>0</v>
      </c>
      <c r="K75" s="1329">
        <v>0</v>
      </c>
      <c r="L75" s="1329">
        <v>0</v>
      </c>
      <c r="M75" s="1329">
        <v>0</v>
      </c>
      <c r="N75" s="1329">
        <v>0</v>
      </c>
    </row>
    <row r="76" spans="1:14" x14ac:dyDescent="0.25">
      <c r="A76" s="1330" t="s">
        <v>1240</v>
      </c>
      <c r="B76" s="1321" t="s">
        <v>1241</v>
      </c>
      <c r="C76" s="1328">
        <v>192949395</v>
      </c>
      <c r="D76" s="1328">
        <v>111009498</v>
      </c>
      <c r="E76" s="1328">
        <v>81939897</v>
      </c>
      <c r="F76" s="1328">
        <v>81939897</v>
      </c>
      <c r="G76" s="1329">
        <v>0</v>
      </c>
      <c r="H76" s="1329">
        <v>0</v>
      </c>
      <c r="I76" s="1328">
        <v>192949395</v>
      </c>
      <c r="J76" s="1328">
        <v>111009498</v>
      </c>
      <c r="K76" s="1328">
        <v>81939897</v>
      </c>
      <c r="L76" s="1328">
        <v>81939897</v>
      </c>
      <c r="M76" s="1329">
        <v>0</v>
      </c>
      <c r="N76" s="1329">
        <v>0</v>
      </c>
    </row>
    <row r="77" spans="1:14" x14ac:dyDescent="0.25">
      <c r="A77" s="1330" t="s">
        <v>1242</v>
      </c>
      <c r="B77" s="1321" t="s">
        <v>1243</v>
      </c>
      <c r="C77" s="1328">
        <v>797781994</v>
      </c>
      <c r="D77" s="1329">
        <v>0</v>
      </c>
      <c r="E77" s="1328">
        <v>797781994</v>
      </c>
      <c r="F77" s="1328">
        <v>797781994</v>
      </c>
      <c r="G77" s="1329">
        <v>0</v>
      </c>
      <c r="H77" s="1329">
        <v>0</v>
      </c>
      <c r="I77" s="1328">
        <v>797781994</v>
      </c>
      <c r="J77" s="1329">
        <v>0</v>
      </c>
      <c r="K77" s="1328">
        <v>797781994</v>
      </c>
      <c r="L77" s="1328">
        <v>797781994</v>
      </c>
      <c r="M77" s="1329">
        <v>0</v>
      </c>
      <c r="N77" s="1329">
        <v>0</v>
      </c>
    </row>
    <row r="78" spans="1:14" x14ac:dyDescent="0.25">
      <c r="A78" s="1330" t="s">
        <v>1244</v>
      </c>
      <c r="B78" s="1321" t="s">
        <v>1245</v>
      </c>
      <c r="C78" s="1329">
        <v>0</v>
      </c>
      <c r="D78" s="1329">
        <v>0</v>
      </c>
      <c r="E78" s="1329">
        <v>0</v>
      </c>
      <c r="F78" s="1329">
        <v>0</v>
      </c>
      <c r="G78" s="1329">
        <v>0</v>
      </c>
      <c r="H78" s="1329">
        <v>0</v>
      </c>
      <c r="I78" s="1329">
        <v>0</v>
      </c>
      <c r="J78" s="1329">
        <v>0</v>
      </c>
      <c r="K78" s="1329">
        <v>0</v>
      </c>
      <c r="L78" s="1329">
        <v>0</v>
      </c>
      <c r="M78" s="1329">
        <v>0</v>
      </c>
      <c r="N78" s="1329">
        <v>0</v>
      </c>
    </row>
    <row r="79" spans="1:14" x14ac:dyDescent="0.25">
      <c r="A79" s="1330" t="s">
        <v>1246</v>
      </c>
      <c r="B79" s="1321" t="s">
        <v>1247</v>
      </c>
      <c r="C79" s="1328">
        <v>689107976</v>
      </c>
      <c r="D79" s="1329">
        <v>0</v>
      </c>
      <c r="E79" s="1328">
        <v>689107976</v>
      </c>
      <c r="F79" s="1328">
        <v>689107976</v>
      </c>
      <c r="G79" s="1329">
        <v>0</v>
      </c>
      <c r="H79" s="1329">
        <v>0</v>
      </c>
      <c r="I79" s="1328">
        <v>689107976</v>
      </c>
      <c r="J79" s="1329">
        <v>0</v>
      </c>
      <c r="K79" s="1328">
        <v>689107976</v>
      </c>
      <c r="L79" s="1328">
        <v>689107976</v>
      </c>
      <c r="M79" s="1329">
        <v>0</v>
      </c>
      <c r="N79" s="1329">
        <v>0</v>
      </c>
    </row>
    <row r="80" spans="1:14" x14ac:dyDescent="0.25">
      <c r="A80" s="1330">
        <v>8</v>
      </c>
      <c r="B80" s="1321" t="s">
        <v>1248</v>
      </c>
      <c r="C80" s="1328">
        <v>15110380131</v>
      </c>
      <c r="D80" s="1329">
        <v>0</v>
      </c>
      <c r="E80" s="1328">
        <v>15110380131</v>
      </c>
      <c r="F80" s="1328">
        <v>15110380131</v>
      </c>
      <c r="G80" s="1329">
        <v>0</v>
      </c>
      <c r="H80" s="1329">
        <v>0</v>
      </c>
      <c r="I80" s="1328">
        <v>15110380131</v>
      </c>
      <c r="J80" s="1329">
        <v>0</v>
      </c>
      <c r="K80" s="1328">
        <v>15110380131</v>
      </c>
      <c r="L80" s="1328">
        <v>15110380131</v>
      </c>
      <c r="M80" s="1329">
        <v>0</v>
      </c>
      <c r="N80" s="1329">
        <v>0</v>
      </c>
    </row>
    <row r="81" spans="1:14" x14ac:dyDescent="0.25">
      <c r="A81" s="1330" t="s">
        <v>1249</v>
      </c>
      <c r="B81" s="1321" t="s">
        <v>20</v>
      </c>
      <c r="C81" s="1329">
        <v>0</v>
      </c>
      <c r="D81" s="1329">
        <v>0</v>
      </c>
      <c r="E81" s="1329">
        <v>0</v>
      </c>
      <c r="F81" s="1329">
        <v>0</v>
      </c>
      <c r="G81" s="1329">
        <v>0</v>
      </c>
      <c r="H81" s="1329">
        <v>0</v>
      </c>
      <c r="I81" s="1329">
        <v>0</v>
      </c>
      <c r="J81" s="1329">
        <v>0</v>
      </c>
      <c r="K81" s="1329">
        <v>0</v>
      </c>
      <c r="L81" s="1329">
        <v>0</v>
      </c>
      <c r="M81" s="1329">
        <v>0</v>
      </c>
      <c r="N81" s="1329">
        <v>0</v>
      </c>
    </row>
    <row r="82" spans="1:14" ht="22.5" x14ac:dyDescent="0.25">
      <c r="A82" s="1330" t="s">
        <v>1250</v>
      </c>
      <c r="B82" s="1321" t="s">
        <v>19</v>
      </c>
      <c r="C82" s="1328">
        <v>395968035</v>
      </c>
      <c r="D82" s="1329">
        <v>0</v>
      </c>
      <c r="E82" s="1328">
        <v>395968035</v>
      </c>
      <c r="F82" s="1328">
        <v>395968035</v>
      </c>
      <c r="G82" s="1329">
        <v>0</v>
      </c>
      <c r="H82" s="1329">
        <v>0</v>
      </c>
      <c r="I82" s="1328">
        <v>395968035</v>
      </c>
      <c r="J82" s="1329">
        <v>0</v>
      </c>
      <c r="K82" s="1328">
        <v>395968035</v>
      </c>
      <c r="L82" s="1328">
        <v>395968035</v>
      </c>
      <c r="M82" s="1329">
        <v>0</v>
      </c>
      <c r="N82" s="1329">
        <v>0</v>
      </c>
    </row>
    <row r="83" spans="1:14" ht="22.5" x14ac:dyDescent="0.25">
      <c r="A83" s="1330" t="s">
        <v>1251</v>
      </c>
      <c r="B83" s="1321" t="s">
        <v>1252</v>
      </c>
      <c r="C83" s="1328">
        <v>79200000</v>
      </c>
      <c r="D83" s="1329">
        <v>0</v>
      </c>
      <c r="E83" s="1328">
        <v>79200000</v>
      </c>
      <c r="F83" s="1328">
        <v>79200000</v>
      </c>
      <c r="G83" s="1329">
        <v>0</v>
      </c>
      <c r="H83" s="1329">
        <v>0</v>
      </c>
      <c r="I83" s="1328">
        <v>79200000</v>
      </c>
      <c r="J83" s="1329">
        <v>0</v>
      </c>
      <c r="K83" s="1328">
        <v>79200000</v>
      </c>
      <c r="L83" s="1328">
        <v>79200000</v>
      </c>
      <c r="M83" s="1329">
        <v>0</v>
      </c>
      <c r="N83" s="1329">
        <v>0</v>
      </c>
    </row>
    <row r="84" spans="1:14" ht="22.5" x14ac:dyDescent="0.25">
      <c r="A84" s="1327"/>
      <c r="B84" s="1321" t="s">
        <v>1253</v>
      </c>
      <c r="C84" s="1329">
        <v>0</v>
      </c>
      <c r="D84" s="1329">
        <v>0</v>
      </c>
      <c r="E84" s="1329">
        <v>0</v>
      </c>
      <c r="F84" s="1329">
        <v>0</v>
      </c>
      <c r="G84" s="1329">
        <v>0</v>
      </c>
      <c r="H84" s="1329">
        <v>0</v>
      </c>
      <c r="I84" s="1329">
        <v>0</v>
      </c>
      <c r="J84" s="1329">
        <v>0</v>
      </c>
      <c r="K84" s="1329">
        <v>0</v>
      </c>
      <c r="L84" s="1329">
        <v>0</v>
      </c>
      <c r="M84" s="1329">
        <v>0</v>
      </c>
      <c r="N84" s="1329">
        <v>0</v>
      </c>
    </row>
    <row r="85" spans="1:14" ht="45" x14ac:dyDescent="0.25">
      <c r="A85" s="1321"/>
      <c r="B85" s="1321" t="s">
        <v>1254</v>
      </c>
      <c r="C85" s="1329">
        <v>0</v>
      </c>
      <c r="D85" s="1329">
        <v>0</v>
      </c>
      <c r="E85" s="1329">
        <v>0</v>
      </c>
      <c r="F85" s="1329">
        <v>0</v>
      </c>
      <c r="G85" s="1329">
        <v>0</v>
      </c>
      <c r="H85" s="1329">
        <v>0</v>
      </c>
      <c r="I85" s="1329">
        <v>0</v>
      </c>
      <c r="J85" s="1329">
        <v>0</v>
      </c>
      <c r="K85" s="1329">
        <v>0</v>
      </c>
      <c r="L85" s="1329">
        <v>0</v>
      </c>
      <c r="M85" s="1329">
        <v>0</v>
      </c>
      <c r="N85" s="1329">
        <v>0</v>
      </c>
    </row>
    <row r="86" spans="1:14" x14ac:dyDescent="0.25">
      <c r="A86" s="1330" t="s">
        <v>1255</v>
      </c>
      <c r="B86" s="1321" t="s">
        <v>21</v>
      </c>
      <c r="C86" s="1328">
        <v>14635212096</v>
      </c>
      <c r="D86" s="1329">
        <v>0</v>
      </c>
      <c r="E86" s="1328">
        <v>14635212096</v>
      </c>
      <c r="F86" s="1328">
        <v>14635212096</v>
      </c>
      <c r="G86" s="1329">
        <v>0</v>
      </c>
      <c r="H86" s="1329">
        <v>0</v>
      </c>
      <c r="I86" s="1328">
        <v>14635212096</v>
      </c>
      <c r="J86" s="1329">
        <v>0</v>
      </c>
      <c r="K86" s="1328">
        <v>14635212096</v>
      </c>
      <c r="L86" s="1328">
        <v>14635212096</v>
      </c>
      <c r="M86" s="1329">
        <v>0</v>
      </c>
      <c r="N86" s="1329">
        <v>0</v>
      </c>
    </row>
    <row r="87" spans="1:14" ht="45" x14ac:dyDescent="0.25">
      <c r="A87" s="1321"/>
      <c r="B87" s="1321" t="s">
        <v>1256</v>
      </c>
      <c r="C87" s="1329">
        <v>0</v>
      </c>
      <c r="D87" s="1329">
        <v>0</v>
      </c>
      <c r="E87" s="1329">
        <v>0</v>
      </c>
      <c r="F87" s="1329">
        <v>0</v>
      </c>
      <c r="G87" s="1329">
        <v>0</v>
      </c>
      <c r="H87" s="1329">
        <v>0</v>
      </c>
      <c r="I87" s="1329">
        <v>0</v>
      </c>
      <c r="J87" s="1329">
        <v>0</v>
      </c>
      <c r="K87" s="1329">
        <v>0</v>
      </c>
      <c r="L87" s="1329">
        <v>0</v>
      </c>
      <c r="M87" s="1329">
        <v>0</v>
      </c>
      <c r="N87" s="1329">
        <v>0</v>
      </c>
    </row>
    <row r="88" spans="1:14" ht="22.5" x14ac:dyDescent="0.25">
      <c r="A88" s="1330" t="s">
        <v>1257</v>
      </c>
      <c r="B88" s="1321" t="s">
        <v>1258</v>
      </c>
      <c r="C88" s="1329">
        <v>0</v>
      </c>
      <c r="D88" s="1329">
        <v>0</v>
      </c>
      <c r="E88" s="1329">
        <v>0</v>
      </c>
      <c r="F88" s="1329">
        <v>0</v>
      </c>
      <c r="G88" s="1329">
        <v>0</v>
      </c>
      <c r="H88" s="1329">
        <v>0</v>
      </c>
      <c r="I88" s="1329">
        <v>0</v>
      </c>
      <c r="J88" s="1329">
        <v>0</v>
      </c>
      <c r="K88" s="1329">
        <v>0</v>
      </c>
      <c r="L88" s="1329">
        <v>0</v>
      </c>
      <c r="M88" s="1329">
        <v>0</v>
      </c>
      <c r="N88" s="1329">
        <v>0</v>
      </c>
    </row>
    <row r="89" spans="1:14" ht="22.5" x14ac:dyDescent="0.25">
      <c r="A89" s="1330">
        <v>9</v>
      </c>
      <c r="B89" s="1321" t="s">
        <v>1259</v>
      </c>
      <c r="C89" s="1329">
        <v>0</v>
      </c>
      <c r="D89" s="1329">
        <v>0</v>
      </c>
      <c r="E89" s="1329">
        <v>0</v>
      </c>
      <c r="F89" s="1329">
        <v>0</v>
      </c>
      <c r="G89" s="1329">
        <v>0</v>
      </c>
      <c r="H89" s="1329">
        <v>0</v>
      </c>
      <c r="I89" s="1329">
        <v>0</v>
      </c>
      <c r="J89" s="1329">
        <v>0</v>
      </c>
      <c r="K89" s="1329">
        <v>0</v>
      </c>
      <c r="L89" s="1329">
        <v>0</v>
      </c>
      <c r="M89" s="1329">
        <v>0</v>
      </c>
      <c r="N89" s="1329">
        <v>0</v>
      </c>
    </row>
    <row r="90" spans="1:14" x14ac:dyDescent="0.25">
      <c r="A90" s="1330" t="s">
        <v>1260</v>
      </c>
      <c r="B90" s="1321" t="s">
        <v>533</v>
      </c>
      <c r="C90" s="1329">
        <v>0</v>
      </c>
      <c r="D90" s="1329">
        <v>0</v>
      </c>
      <c r="E90" s="1329">
        <v>0</v>
      </c>
      <c r="F90" s="1329">
        <v>0</v>
      </c>
      <c r="G90" s="1329">
        <v>0</v>
      </c>
      <c r="H90" s="1329">
        <v>0</v>
      </c>
      <c r="I90" s="1329">
        <v>0</v>
      </c>
      <c r="J90" s="1329">
        <v>0</v>
      </c>
      <c r="K90" s="1329">
        <v>0</v>
      </c>
      <c r="L90" s="1329">
        <v>0</v>
      </c>
      <c r="M90" s="1329">
        <v>0</v>
      </c>
      <c r="N90" s="1329">
        <v>0</v>
      </c>
    </row>
    <row r="91" spans="1:14" x14ac:dyDescent="0.25">
      <c r="A91" s="1330" t="s">
        <v>1261</v>
      </c>
      <c r="B91" s="1321" t="s">
        <v>15</v>
      </c>
      <c r="C91" s="1329">
        <v>0</v>
      </c>
      <c r="D91" s="1329">
        <v>0</v>
      </c>
      <c r="E91" s="1329">
        <v>0</v>
      </c>
      <c r="F91" s="1329">
        <v>0</v>
      </c>
      <c r="G91" s="1329">
        <v>0</v>
      </c>
      <c r="H91" s="1329">
        <v>0</v>
      </c>
      <c r="I91" s="1329">
        <v>0</v>
      </c>
      <c r="J91" s="1329">
        <v>0</v>
      </c>
      <c r="K91" s="1329">
        <v>0</v>
      </c>
      <c r="L91" s="1329">
        <v>0</v>
      </c>
      <c r="M91" s="1329">
        <v>0</v>
      </c>
      <c r="N91" s="1329">
        <v>0</v>
      </c>
    </row>
    <row r="92" spans="1:14" x14ac:dyDescent="0.25">
      <c r="A92" s="1330" t="s">
        <v>1262</v>
      </c>
      <c r="B92" s="1321" t="s">
        <v>1263</v>
      </c>
      <c r="C92" s="1329">
        <v>0</v>
      </c>
      <c r="D92" s="1329">
        <v>0</v>
      </c>
      <c r="E92" s="1329">
        <v>0</v>
      </c>
      <c r="F92" s="1329">
        <v>0</v>
      </c>
      <c r="G92" s="1329">
        <v>0</v>
      </c>
      <c r="H92" s="1329">
        <v>0</v>
      </c>
      <c r="I92" s="1329">
        <v>0</v>
      </c>
      <c r="J92" s="1329">
        <v>0</v>
      </c>
      <c r="K92" s="1329">
        <v>0</v>
      </c>
      <c r="L92" s="1329">
        <v>0</v>
      </c>
      <c r="M92" s="1329">
        <v>0</v>
      </c>
      <c r="N92" s="1329">
        <v>0</v>
      </c>
    </row>
    <row r="93" spans="1:14" x14ac:dyDescent="0.25">
      <c r="A93" s="1330" t="s">
        <v>1264</v>
      </c>
      <c r="B93" s="1321" t="s">
        <v>541</v>
      </c>
      <c r="C93" s="1329">
        <v>0</v>
      </c>
      <c r="D93" s="1329">
        <v>0</v>
      </c>
      <c r="E93" s="1329">
        <v>0</v>
      </c>
      <c r="F93" s="1329">
        <v>0</v>
      </c>
      <c r="G93" s="1329">
        <v>0</v>
      </c>
      <c r="H93" s="1329">
        <v>0</v>
      </c>
      <c r="I93" s="1329">
        <v>0</v>
      </c>
      <c r="J93" s="1329">
        <v>0</v>
      </c>
      <c r="K93" s="1329">
        <v>0</v>
      </c>
      <c r="L93" s="1329">
        <v>0</v>
      </c>
      <c r="M93" s="1329">
        <v>0</v>
      </c>
      <c r="N93" s="1329">
        <v>0</v>
      </c>
    </row>
    <row r="94" spans="1:14" x14ac:dyDescent="0.25">
      <c r="A94" s="1330" t="s">
        <v>1265</v>
      </c>
      <c r="B94" s="1321" t="s">
        <v>1266</v>
      </c>
      <c r="C94" s="1329">
        <v>0</v>
      </c>
      <c r="D94" s="1329">
        <v>0</v>
      </c>
      <c r="E94" s="1329">
        <v>0</v>
      </c>
      <c r="F94" s="1329">
        <v>0</v>
      </c>
      <c r="G94" s="1329">
        <v>0</v>
      </c>
      <c r="H94" s="1329">
        <v>0</v>
      </c>
      <c r="I94" s="1329">
        <v>0</v>
      </c>
      <c r="J94" s="1329">
        <v>0</v>
      </c>
      <c r="K94" s="1329">
        <v>0</v>
      </c>
      <c r="L94" s="1329">
        <v>0</v>
      </c>
      <c r="M94" s="1329">
        <v>0</v>
      </c>
      <c r="N94" s="1329">
        <v>0</v>
      </c>
    </row>
    <row r="95" spans="1:14" ht="22.5" x14ac:dyDescent="0.25">
      <c r="A95" s="1330">
        <v>10</v>
      </c>
      <c r="B95" s="1321" t="s">
        <v>1267</v>
      </c>
      <c r="C95" s="1329">
        <v>0</v>
      </c>
      <c r="D95" s="1329">
        <v>0</v>
      </c>
      <c r="E95" s="1329">
        <v>0</v>
      </c>
      <c r="F95" s="1329">
        <v>0</v>
      </c>
      <c r="G95" s="1329">
        <v>0</v>
      </c>
      <c r="H95" s="1329">
        <v>0</v>
      </c>
      <c r="I95" s="1329">
        <v>0</v>
      </c>
      <c r="J95" s="1329">
        <v>0</v>
      </c>
      <c r="K95" s="1329">
        <v>0</v>
      </c>
      <c r="L95" s="1329">
        <v>0</v>
      </c>
      <c r="M95" s="1329">
        <v>0</v>
      </c>
      <c r="N95" s="1329">
        <v>0</v>
      </c>
    </row>
    <row r="96" spans="1:14" ht="22.5" x14ac:dyDescent="0.25">
      <c r="A96" s="1330" t="s">
        <v>1268</v>
      </c>
      <c r="B96" s="1321" t="s">
        <v>1269</v>
      </c>
      <c r="C96" s="1329">
        <v>0</v>
      </c>
      <c r="D96" s="1329">
        <v>0</v>
      </c>
      <c r="E96" s="1329">
        <v>0</v>
      </c>
      <c r="F96" s="1329">
        <v>0</v>
      </c>
      <c r="G96" s="1329">
        <v>0</v>
      </c>
      <c r="H96" s="1329">
        <v>0</v>
      </c>
      <c r="I96" s="1329">
        <v>0</v>
      </c>
      <c r="J96" s="1329">
        <v>0</v>
      </c>
      <c r="K96" s="1329">
        <v>0</v>
      </c>
      <c r="L96" s="1329">
        <v>0</v>
      </c>
      <c r="M96" s="1329">
        <v>0</v>
      </c>
      <c r="N96" s="1329">
        <v>0</v>
      </c>
    </row>
    <row r="97" spans="1:14" ht="22.5" x14ac:dyDescent="0.25">
      <c r="A97" s="1327"/>
      <c r="B97" s="1321" t="s">
        <v>1270</v>
      </c>
      <c r="C97" s="1329">
        <v>0</v>
      </c>
      <c r="D97" s="1329">
        <v>0</v>
      </c>
      <c r="E97" s="1329">
        <v>0</v>
      </c>
      <c r="F97" s="1329">
        <v>0</v>
      </c>
      <c r="G97" s="1329">
        <v>0</v>
      </c>
      <c r="H97" s="1329">
        <v>0</v>
      </c>
      <c r="I97" s="1329">
        <v>0</v>
      </c>
      <c r="J97" s="1329">
        <v>0</v>
      </c>
      <c r="K97" s="1329">
        <v>0</v>
      </c>
      <c r="L97" s="1329">
        <v>0</v>
      </c>
      <c r="M97" s="1329">
        <v>0</v>
      </c>
      <c r="N97" s="1329">
        <v>0</v>
      </c>
    </row>
    <row r="98" spans="1:14" ht="22.5" x14ac:dyDescent="0.25">
      <c r="A98" s="3335"/>
      <c r="B98" s="1331" t="s">
        <v>1271</v>
      </c>
      <c r="C98" s="3332">
        <v>0</v>
      </c>
      <c r="D98" s="3332">
        <v>0</v>
      </c>
      <c r="E98" s="3332">
        <v>0</v>
      </c>
      <c r="F98" s="3332">
        <v>0</v>
      </c>
      <c r="G98" s="3332">
        <v>0</v>
      </c>
      <c r="H98" s="3332">
        <v>0</v>
      </c>
      <c r="I98" s="3332">
        <v>0</v>
      </c>
      <c r="J98" s="3332">
        <v>0</v>
      </c>
      <c r="K98" s="3332">
        <v>0</v>
      </c>
      <c r="L98" s="3332">
        <v>0</v>
      </c>
      <c r="M98" s="3332">
        <v>0</v>
      </c>
      <c r="N98" s="3332">
        <v>0</v>
      </c>
    </row>
    <row r="99" spans="1:14" x14ac:dyDescent="0.25">
      <c r="A99" s="3335"/>
      <c r="B99" s="1321" t="s">
        <v>1272</v>
      </c>
      <c r="C99" s="3332"/>
      <c r="D99" s="3332"/>
      <c r="E99" s="3332"/>
      <c r="F99" s="3332"/>
      <c r="G99" s="3332"/>
      <c r="H99" s="3332"/>
      <c r="I99" s="3332"/>
      <c r="J99" s="3332"/>
      <c r="K99" s="3332"/>
      <c r="L99" s="3332"/>
      <c r="M99" s="3332"/>
      <c r="N99" s="3332"/>
    </row>
    <row r="100" spans="1:14" ht="22.5" x14ac:dyDescent="0.25">
      <c r="A100" s="1330" t="s">
        <v>1273</v>
      </c>
      <c r="B100" s="1321" t="s">
        <v>1274</v>
      </c>
      <c r="C100" s="1329">
        <v>0</v>
      </c>
      <c r="D100" s="1329">
        <v>0</v>
      </c>
      <c r="E100" s="1329">
        <v>0</v>
      </c>
      <c r="F100" s="1329">
        <v>0</v>
      </c>
      <c r="G100" s="1329">
        <v>0</v>
      </c>
      <c r="H100" s="1329">
        <v>0</v>
      </c>
      <c r="I100" s="1329">
        <v>0</v>
      </c>
      <c r="J100" s="1329">
        <v>0</v>
      </c>
      <c r="K100" s="1329">
        <v>0</v>
      </c>
      <c r="L100" s="1329">
        <v>0</v>
      </c>
      <c r="M100" s="1329">
        <v>0</v>
      </c>
      <c r="N100" s="1329">
        <v>0</v>
      </c>
    </row>
    <row r="101" spans="1:14" ht="22.5" x14ac:dyDescent="0.25">
      <c r="A101" s="1327"/>
      <c r="B101" s="1321" t="s">
        <v>1270</v>
      </c>
      <c r="C101" s="1329">
        <v>0</v>
      </c>
      <c r="D101" s="1329">
        <v>0</v>
      </c>
      <c r="E101" s="1329">
        <v>0</v>
      </c>
      <c r="F101" s="1329">
        <v>0</v>
      </c>
      <c r="G101" s="1329">
        <v>0</v>
      </c>
      <c r="H101" s="1329">
        <v>0</v>
      </c>
      <c r="I101" s="1329">
        <v>0</v>
      </c>
      <c r="J101" s="1329">
        <v>0</v>
      </c>
      <c r="K101" s="1329">
        <v>0</v>
      </c>
      <c r="L101" s="1329">
        <v>0</v>
      </c>
      <c r="M101" s="1329">
        <v>0</v>
      </c>
      <c r="N101" s="1329">
        <v>0</v>
      </c>
    </row>
    <row r="102" spans="1:14" ht="22.5" x14ac:dyDescent="0.25">
      <c r="A102" s="3335"/>
      <c r="B102" s="1331" t="s">
        <v>1271</v>
      </c>
      <c r="C102" s="3332">
        <v>0</v>
      </c>
      <c r="D102" s="3332">
        <v>0</v>
      </c>
      <c r="E102" s="3332">
        <v>0</v>
      </c>
      <c r="F102" s="3332">
        <v>0</v>
      </c>
      <c r="G102" s="3332">
        <v>0</v>
      </c>
      <c r="H102" s="3332">
        <v>0</v>
      </c>
      <c r="I102" s="3332">
        <v>0</v>
      </c>
      <c r="J102" s="3332">
        <v>0</v>
      </c>
      <c r="K102" s="3332">
        <v>0</v>
      </c>
      <c r="L102" s="3332">
        <v>0</v>
      </c>
      <c r="M102" s="3332">
        <v>0</v>
      </c>
      <c r="N102" s="3332">
        <v>0</v>
      </c>
    </row>
    <row r="103" spans="1:14" x14ac:dyDescent="0.25">
      <c r="A103" s="3335"/>
      <c r="B103" s="1321" t="s">
        <v>1272</v>
      </c>
      <c r="C103" s="3332"/>
      <c r="D103" s="3332"/>
      <c r="E103" s="3332"/>
      <c r="F103" s="3332"/>
      <c r="G103" s="3332"/>
      <c r="H103" s="3332"/>
      <c r="I103" s="3332"/>
      <c r="J103" s="3332"/>
      <c r="K103" s="3332"/>
      <c r="L103" s="3332"/>
      <c r="M103" s="3332"/>
      <c r="N103" s="3332"/>
    </row>
    <row r="104" spans="1:14" ht="22.5" x14ac:dyDescent="0.25">
      <c r="A104" s="1330" t="s">
        <v>1275</v>
      </c>
      <c r="B104" s="1321" t="s">
        <v>1276</v>
      </c>
      <c r="C104" s="1329">
        <v>0</v>
      </c>
      <c r="D104" s="1329">
        <v>0</v>
      </c>
      <c r="E104" s="1329">
        <v>0</v>
      </c>
      <c r="F104" s="1329">
        <v>0</v>
      </c>
      <c r="G104" s="1329">
        <v>0</v>
      </c>
      <c r="H104" s="1329">
        <v>0</v>
      </c>
      <c r="I104" s="1329">
        <v>0</v>
      </c>
      <c r="J104" s="1329">
        <v>0</v>
      </c>
      <c r="K104" s="1329">
        <v>0</v>
      </c>
      <c r="L104" s="1329">
        <v>0</v>
      </c>
      <c r="M104" s="1329">
        <v>0</v>
      </c>
      <c r="N104" s="1329">
        <v>0</v>
      </c>
    </row>
    <row r="105" spans="1:14" ht="22.5" x14ac:dyDescent="0.25">
      <c r="A105" s="1327"/>
      <c r="B105" s="1321" t="s">
        <v>1270</v>
      </c>
      <c r="C105" s="1329">
        <v>0</v>
      </c>
      <c r="D105" s="1329">
        <v>0</v>
      </c>
      <c r="E105" s="1329">
        <v>0</v>
      </c>
      <c r="F105" s="1329">
        <v>0</v>
      </c>
      <c r="G105" s="1329">
        <v>0</v>
      </c>
      <c r="H105" s="1329">
        <v>0</v>
      </c>
      <c r="I105" s="1329">
        <v>0</v>
      </c>
      <c r="J105" s="1329">
        <v>0</v>
      </c>
      <c r="K105" s="1329">
        <v>0</v>
      </c>
      <c r="L105" s="1329">
        <v>0</v>
      </c>
      <c r="M105" s="1329">
        <v>0</v>
      </c>
      <c r="N105" s="1329">
        <v>0</v>
      </c>
    </row>
    <row r="106" spans="1:14" x14ac:dyDescent="0.25">
      <c r="A106" s="1332"/>
      <c r="B106" s="520"/>
      <c r="C106" s="520"/>
      <c r="D106" s="520"/>
      <c r="E106" s="520"/>
      <c r="F106" s="520"/>
      <c r="G106" s="520"/>
      <c r="H106" s="520"/>
      <c r="I106" s="520"/>
      <c r="J106" s="520"/>
      <c r="K106" s="520"/>
      <c r="L106" s="520"/>
      <c r="M106" s="520"/>
      <c r="N106" s="520"/>
    </row>
    <row r="107" spans="1:14" ht="22.5" x14ac:dyDescent="0.25">
      <c r="A107" s="3335"/>
      <c r="B107" s="1331" t="s">
        <v>1271</v>
      </c>
      <c r="C107" s="3332">
        <v>0</v>
      </c>
      <c r="D107" s="3332">
        <v>0</v>
      </c>
      <c r="E107" s="3332">
        <v>0</v>
      </c>
      <c r="F107" s="3332">
        <v>0</v>
      </c>
      <c r="G107" s="3332">
        <v>0</v>
      </c>
      <c r="H107" s="3332">
        <v>0</v>
      </c>
      <c r="I107" s="3332">
        <v>0</v>
      </c>
      <c r="J107" s="3332">
        <v>0</v>
      </c>
      <c r="K107" s="3332">
        <v>0</v>
      </c>
      <c r="L107" s="3332">
        <v>0</v>
      </c>
      <c r="M107" s="3332">
        <v>0</v>
      </c>
      <c r="N107" s="3332">
        <v>0</v>
      </c>
    </row>
    <row r="108" spans="1:14" x14ac:dyDescent="0.25">
      <c r="A108" s="3335"/>
      <c r="B108" s="1321" t="s">
        <v>1272</v>
      </c>
      <c r="C108" s="3332"/>
      <c r="D108" s="3332"/>
      <c r="E108" s="3332"/>
      <c r="F108" s="3332"/>
      <c r="G108" s="3332"/>
      <c r="H108" s="3332"/>
      <c r="I108" s="3332"/>
      <c r="J108" s="3332"/>
      <c r="K108" s="3332"/>
      <c r="L108" s="3332"/>
      <c r="M108" s="3332"/>
      <c r="N108" s="3332"/>
    </row>
    <row r="109" spans="1:14" x14ac:dyDescent="0.25">
      <c r="A109" s="1330">
        <v>11</v>
      </c>
      <c r="B109" s="1321" t="s">
        <v>10</v>
      </c>
      <c r="C109" s="1328">
        <v>4311792374</v>
      </c>
      <c r="D109" s="1328">
        <v>697911183</v>
      </c>
      <c r="E109" s="1328">
        <v>3613881191</v>
      </c>
      <c r="F109" s="1328">
        <v>694322645</v>
      </c>
      <c r="G109" s="1329">
        <v>0</v>
      </c>
      <c r="H109" s="1328">
        <v>2919558546</v>
      </c>
      <c r="I109" s="1328">
        <v>4311792374</v>
      </c>
      <c r="J109" s="1328">
        <v>697911183</v>
      </c>
      <c r="K109" s="1328">
        <v>3613881191</v>
      </c>
      <c r="L109" s="1328">
        <v>694322645</v>
      </c>
      <c r="M109" s="1329">
        <v>0</v>
      </c>
      <c r="N109" s="1328">
        <v>2919558546</v>
      </c>
    </row>
    <row r="110" spans="1:14" x14ac:dyDescent="0.25">
      <c r="A110" s="1330" t="s">
        <v>1277</v>
      </c>
      <c r="B110" s="1321" t="s">
        <v>1278</v>
      </c>
      <c r="C110" s="1329">
        <v>0</v>
      </c>
      <c r="D110" s="1329">
        <v>0</v>
      </c>
      <c r="E110" s="1329">
        <v>0</v>
      </c>
      <c r="F110" s="1329">
        <v>0</v>
      </c>
      <c r="G110" s="1329">
        <v>0</v>
      </c>
      <c r="H110" s="1329">
        <v>0</v>
      </c>
      <c r="I110" s="1329">
        <v>0</v>
      </c>
      <c r="J110" s="1329">
        <v>0</v>
      </c>
      <c r="K110" s="1329">
        <v>0</v>
      </c>
      <c r="L110" s="1329">
        <v>0</v>
      </c>
      <c r="M110" s="1329">
        <v>0</v>
      </c>
      <c r="N110" s="1329">
        <v>0</v>
      </c>
    </row>
    <row r="111" spans="1:14" x14ac:dyDescent="0.25">
      <c r="A111" s="1330" t="s">
        <v>1279</v>
      </c>
      <c r="B111" s="1321" t="s">
        <v>1280</v>
      </c>
      <c r="C111" s="1328">
        <v>1519002959</v>
      </c>
      <c r="D111" s="1328">
        <v>697814828</v>
      </c>
      <c r="E111" s="1328">
        <v>821188131</v>
      </c>
      <c r="F111" s="1328">
        <v>59602000</v>
      </c>
      <c r="G111" s="1329">
        <v>0</v>
      </c>
      <c r="H111" s="1328">
        <v>761586131</v>
      </c>
      <c r="I111" s="1328">
        <v>1519002959</v>
      </c>
      <c r="J111" s="1328">
        <v>697814828</v>
      </c>
      <c r="K111" s="1328">
        <v>821188131</v>
      </c>
      <c r="L111" s="1328">
        <v>59602000</v>
      </c>
      <c r="M111" s="1329">
        <v>0</v>
      </c>
      <c r="N111" s="1328">
        <v>761586131</v>
      </c>
    </row>
    <row r="112" spans="1:14" ht="33.75" x14ac:dyDescent="0.25">
      <c r="A112" s="1321"/>
      <c r="B112" s="1321" t="s">
        <v>1281</v>
      </c>
      <c r="C112" s="1328">
        <v>5500000</v>
      </c>
      <c r="D112" s="1328">
        <v>5500000</v>
      </c>
      <c r="E112" s="1329">
        <v>0</v>
      </c>
      <c r="F112" s="1329">
        <v>0</v>
      </c>
      <c r="G112" s="1329">
        <v>0</v>
      </c>
      <c r="H112" s="1329">
        <v>0</v>
      </c>
      <c r="I112" s="1328">
        <v>5500000</v>
      </c>
      <c r="J112" s="1328">
        <v>5500000</v>
      </c>
      <c r="K112" s="1329">
        <v>0</v>
      </c>
      <c r="L112" s="1329">
        <v>0</v>
      </c>
      <c r="M112" s="1329">
        <v>0</v>
      </c>
      <c r="N112" s="1329">
        <v>0</v>
      </c>
    </row>
    <row r="113" spans="1:14" ht="33.75" x14ac:dyDescent="0.25">
      <c r="A113" s="3335"/>
      <c r="B113" s="1333" t="s">
        <v>1282</v>
      </c>
      <c r="C113" s="3336">
        <v>690314828</v>
      </c>
      <c r="D113" s="3336">
        <v>690314828</v>
      </c>
      <c r="E113" s="3332">
        <v>0</v>
      </c>
      <c r="F113" s="3332">
        <v>0</v>
      </c>
      <c r="G113" s="3332">
        <v>0</v>
      </c>
      <c r="H113" s="3332">
        <v>0</v>
      </c>
      <c r="I113" s="3336">
        <v>690314828</v>
      </c>
      <c r="J113" s="3336">
        <v>690314828</v>
      </c>
      <c r="K113" s="3332">
        <v>0</v>
      </c>
      <c r="L113" s="3332">
        <v>0</v>
      </c>
      <c r="M113" s="3332">
        <v>0</v>
      </c>
      <c r="N113" s="3332">
        <v>0</v>
      </c>
    </row>
    <row r="114" spans="1:14" x14ac:dyDescent="0.25">
      <c r="A114" s="3335"/>
      <c r="B114" s="1321" t="s">
        <v>1283</v>
      </c>
      <c r="C114" s="3336"/>
      <c r="D114" s="3336"/>
      <c r="E114" s="3332"/>
      <c r="F114" s="3332"/>
      <c r="G114" s="3332"/>
      <c r="H114" s="3332"/>
      <c r="I114" s="3336"/>
      <c r="J114" s="3336"/>
      <c r="K114" s="3332"/>
      <c r="L114" s="3332"/>
      <c r="M114" s="3332"/>
      <c r="N114" s="3332"/>
    </row>
    <row r="115" spans="1:14" x14ac:dyDescent="0.25">
      <c r="A115" s="1330" t="s">
        <v>1284</v>
      </c>
      <c r="B115" s="1321" t="s">
        <v>1285</v>
      </c>
      <c r="C115" s="1329">
        <v>0</v>
      </c>
      <c r="D115" s="1329">
        <v>0</v>
      </c>
      <c r="E115" s="1329">
        <v>0</v>
      </c>
      <c r="F115" s="1329">
        <v>0</v>
      </c>
      <c r="G115" s="1329">
        <v>0</v>
      </c>
      <c r="H115" s="1329">
        <v>0</v>
      </c>
      <c r="I115" s="1329">
        <v>0</v>
      </c>
      <c r="J115" s="1329">
        <v>0</v>
      </c>
      <c r="K115" s="1329">
        <v>0</v>
      </c>
      <c r="L115" s="1329">
        <v>0</v>
      </c>
      <c r="M115" s="1329">
        <v>0</v>
      </c>
      <c r="N115" s="1329">
        <v>0</v>
      </c>
    </row>
    <row r="116" spans="1:14" x14ac:dyDescent="0.25">
      <c r="A116" s="1327"/>
      <c r="B116" s="1321" t="s">
        <v>1286</v>
      </c>
      <c r="C116" s="1329">
        <v>0</v>
      </c>
      <c r="D116" s="1329">
        <v>0</v>
      </c>
      <c r="E116" s="1329">
        <v>0</v>
      </c>
      <c r="F116" s="1329">
        <v>0</v>
      </c>
      <c r="G116" s="1329">
        <v>0</v>
      </c>
      <c r="H116" s="1329">
        <v>0</v>
      </c>
      <c r="I116" s="1329">
        <v>0</v>
      </c>
      <c r="J116" s="1329">
        <v>0</v>
      </c>
      <c r="K116" s="1329">
        <v>0</v>
      </c>
      <c r="L116" s="1329">
        <v>0</v>
      </c>
      <c r="M116" s="1329">
        <v>0</v>
      </c>
      <c r="N116" s="1329">
        <v>0</v>
      </c>
    </row>
    <row r="117" spans="1:14" ht="22.5" x14ac:dyDescent="0.25">
      <c r="A117" s="1330" t="s">
        <v>1287</v>
      </c>
      <c r="B117" s="1321" t="s">
        <v>1288</v>
      </c>
      <c r="C117" s="1328">
        <v>744920724</v>
      </c>
      <c r="D117" s="1329">
        <v>0</v>
      </c>
      <c r="E117" s="1328">
        <v>744920724</v>
      </c>
      <c r="F117" s="1328">
        <v>391216063</v>
      </c>
      <c r="G117" s="1329">
        <v>0</v>
      </c>
      <c r="H117" s="1328">
        <v>353704661</v>
      </c>
      <c r="I117" s="1328">
        <v>744920724</v>
      </c>
      <c r="J117" s="1329">
        <v>0</v>
      </c>
      <c r="K117" s="1328">
        <v>744920724</v>
      </c>
      <c r="L117" s="1328">
        <v>391216063</v>
      </c>
      <c r="M117" s="1329">
        <v>0</v>
      </c>
      <c r="N117" s="1328">
        <v>353704661</v>
      </c>
    </row>
    <row r="118" spans="1:14" ht="22.5" x14ac:dyDescent="0.25">
      <c r="A118" s="1330" t="s">
        <v>1289</v>
      </c>
      <c r="B118" s="1321" t="s">
        <v>1290</v>
      </c>
      <c r="C118" s="1329">
        <v>0</v>
      </c>
      <c r="D118" s="1329">
        <v>0</v>
      </c>
      <c r="E118" s="1329">
        <v>0</v>
      </c>
      <c r="F118" s="1329">
        <v>0</v>
      </c>
      <c r="G118" s="1329">
        <v>0</v>
      </c>
      <c r="H118" s="1329">
        <v>0</v>
      </c>
      <c r="I118" s="1329">
        <v>0</v>
      </c>
      <c r="J118" s="1329">
        <v>0</v>
      </c>
      <c r="K118" s="1329">
        <v>0</v>
      </c>
      <c r="L118" s="1329">
        <v>0</v>
      </c>
      <c r="M118" s="1329">
        <v>0</v>
      </c>
      <c r="N118" s="1329">
        <v>0</v>
      </c>
    </row>
    <row r="119" spans="1:14" ht="22.5" x14ac:dyDescent="0.25">
      <c r="A119" s="1330" t="s">
        <v>1291</v>
      </c>
      <c r="B119" s="1321" t="s">
        <v>1292</v>
      </c>
      <c r="C119" s="1328">
        <v>62265500</v>
      </c>
      <c r="D119" s="1329">
        <v>0</v>
      </c>
      <c r="E119" s="1328">
        <v>62265500</v>
      </c>
      <c r="F119" s="1328">
        <v>62265500</v>
      </c>
      <c r="G119" s="1329">
        <v>0</v>
      </c>
      <c r="H119" s="1329">
        <v>0</v>
      </c>
      <c r="I119" s="1328">
        <v>62265500</v>
      </c>
      <c r="J119" s="1329">
        <v>0</v>
      </c>
      <c r="K119" s="1328">
        <v>62265500</v>
      </c>
      <c r="L119" s="1328">
        <v>62265500</v>
      </c>
      <c r="M119" s="1329">
        <v>0</v>
      </c>
      <c r="N119" s="1329">
        <v>0</v>
      </c>
    </row>
    <row r="120" spans="1:14" ht="22.5" x14ac:dyDescent="0.25">
      <c r="A120" s="1330" t="s">
        <v>1293</v>
      </c>
      <c r="B120" s="1321" t="s">
        <v>1294</v>
      </c>
      <c r="C120" s="1329">
        <v>0</v>
      </c>
      <c r="D120" s="1329">
        <v>0</v>
      </c>
      <c r="E120" s="1329">
        <v>0</v>
      </c>
      <c r="F120" s="1329">
        <v>0</v>
      </c>
      <c r="G120" s="1329">
        <v>0</v>
      </c>
      <c r="H120" s="1329">
        <v>0</v>
      </c>
      <c r="I120" s="1329">
        <v>0</v>
      </c>
      <c r="J120" s="1329">
        <v>0</v>
      </c>
      <c r="K120" s="1329">
        <v>0</v>
      </c>
      <c r="L120" s="1329">
        <v>0</v>
      </c>
      <c r="M120" s="1329">
        <v>0</v>
      </c>
      <c r="N120" s="1329">
        <v>0</v>
      </c>
    </row>
    <row r="121" spans="1:14" x14ac:dyDescent="0.25">
      <c r="A121" s="1330" t="s">
        <v>1295</v>
      </c>
      <c r="B121" s="1321" t="s">
        <v>1296</v>
      </c>
      <c r="C121" s="1328">
        <v>1985603191</v>
      </c>
      <c r="D121" s="1328">
        <v>96355</v>
      </c>
      <c r="E121" s="1328">
        <v>1985506836</v>
      </c>
      <c r="F121" s="1328">
        <v>181239082</v>
      </c>
      <c r="G121" s="1329">
        <v>0</v>
      </c>
      <c r="H121" s="1328">
        <v>1804267754</v>
      </c>
      <c r="I121" s="1328">
        <v>1985603191</v>
      </c>
      <c r="J121" s="1328">
        <v>96355</v>
      </c>
      <c r="K121" s="1328">
        <v>1985506836</v>
      </c>
      <c r="L121" s="1328">
        <v>181239082</v>
      </c>
      <c r="M121" s="1329">
        <v>0</v>
      </c>
      <c r="N121" s="1328">
        <v>1804267754</v>
      </c>
    </row>
    <row r="122" spans="1:14" ht="22.5" x14ac:dyDescent="0.25">
      <c r="A122" s="1327"/>
      <c r="B122" s="1321" t="s">
        <v>1297</v>
      </c>
      <c r="C122" s="1328">
        <v>4590</v>
      </c>
      <c r="D122" s="1329">
        <v>0</v>
      </c>
      <c r="E122" s="1328">
        <v>4590</v>
      </c>
      <c r="F122" s="1328">
        <v>4590</v>
      </c>
      <c r="G122" s="1329">
        <v>0</v>
      </c>
      <c r="H122" s="1329">
        <v>0</v>
      </c>
      <c r="I122" s="1328">
        <v>4590</v>
      </c>
      <c r="J122" s="1329">
        <v>0</v>
      </c>
      <c r="K122" s="1328">
        <v>4590</v>
      </c>
      <c r="L122" s="1328">
        <v>4590</v>
      </c>
      <c r="M122" s="1329">
        <v>0</v>
      </c>
      <c r="N122" s="1329">
        <v>0</v>
      </c>
    </row>
    <row r="123" spans="1:14" ht="22.5" x14ac:dyDescent="0.25">
      <c r="A123" s="1330">
        <v>12</v>
      </c>
      <c r="B123" s="1321" t="s">
        <v>1298</v>
      </c>
      <c r="C123" s="1329">
        <v>0</v>
      </c>
      <c r="D123" s="1329">
        <v>0</v>
      </c>
      <c r="E123" s="1329">
        <v>0</v>
      </c>
      <c r="F123" s="1329">
        <v>0</v>
      </c>
      <c r="G123" s="1329">
        <v>0</v>
      </c>
      <c r="H123" s="1329">
        <v>0</v>
      </c>
      <c r="I123" s="1329">
        <v>0</v>
      </c>
      <c r="J123" s="1329">
        <v>0</v>
      </c>
      <c r="K123" s="1329">
        <v>0</v>
      </c>
      <c r="L123" s="1329">
        <v>0</v>
      </c>
      <c r="M123" s="1329">
        <v>0</v>
      </c>
      <c r="N123" s="1329">
        <v>0</v>
      </c>
    </row>
    <row r="124" spans="1:14" ht="22.5" x14ac:dyDescent="0.25">
      <c r="A124" s="1327"/>
      <c r="B124" s="1321" t="s">
        <v>1299</v>
      </c>
      <c r="C124" s="1329">
        <v>0</v>
      </c>
      <c r="D124" s="1329">
        <v>0</v>
      </c>
      <c r="E124" s="1329">
        <v>0</v>
      </c>
      <c r="F124" s="1329">
        <v>0</v>
      </c>
      <c r="G124" s="1329">
        <v>0</v>
      </c>
      <c r="H124" s="1329">
        <v>0</v>
      </c>
      <c r="I124" s="1329">
        <v>0</v>
      </c>
      <c r="J124" s="1329">
        <v>0</v>
      </c>
      <c r="K124" s="1329">
        <v>0</v>
      </c>
      <c r="L124" s="1329">
        <v>0</v>
      </c>
      <c r="M124" s="1329">
        <v>0</v>
      </c>
      <c r="N124" s="1329">
        <v>0</v>
      </c>
    </row>
    <row r="125" spans="1:14" ht="33.75" x14ac:dyDescent="0.25">
      <c r="A125" s="1330">
        <v>13</v>
      </c>
      <c r="B125" s="1321" t="s">
        <v>1300</v>
      </c>
      <c r="C125" s="1329">
        <v>0</v>
      </c>
      <c r="D125" s="1329">
        <v>0</v>
      </c>
      <c r="E125" s="1329">
        <v>0</v>
      </c>
      <c r="F125" s="1329">
        <v>0</v>
      </c>
      <c r="G125" s="1329">
        <v>0</v>
      </c>
      <c r="H125" s="1329">
        <v>0</v>
      </c>
      <c r="I125" s="1329">
        <v>0</v>
      </c>
      <c r="J125" s="1329">
        <v>0</v>
      </c>
      <c r="K125" s="1329">
        <v>0</v>
      </c>
      <c r="L125" s="1329">
        <v>0</v>
      </c>
      <c r="M125" s="1329">
        <v>0</v>
      </c>
      <c r="N125" s="1329">
        <v>0</v>
      </c>
    </row>
    <row r="126" spans="1:14" ht="22.5" x14ac:dyDescent="0.25">
      <c r="A126" s="1327"/>
      <c r="B126" s="1321" t="s">
        <v>1301</v>
      </c>
      <c r="C126" s="1329">
        <v>0</v>
      </c>
      <c r="D126" s="1329">
        <v>0</v>
      </c>
      <c r="E126" s="1329">
        <v>0</v>
      </c>
      <c r="F126" s="1329">
        <v>0</v>
      </c>
      <c r="G126" s="1329">
        <v>0</v>
      </c>
      <c r="H126" s="1329">
        <v>0</v>
      </c>
      <c r="I126" s="1329">
        <v>0</v>
      </c>
      <c r="J126" s="1329">
        <v>0</v>
      </c>
      <c r="K126" s="1329">
        <v>0</v>
      </c>
      <c r="L126" s="1329">
        <v>0</v>
      </c>
      <c r="M126" s="1329">
        <v>0</v>
      </c>
      <c r="N126" s="1329">
        <v>0</v>
      </c>
    </row>
    <row r="127" spans="1:14" ht="22.5" x14ac:dyDescent="0.25">
      <c r="A127" s="1327"/>
      <c r="B127" s="1334" t="s">
        <v>1302</v>
      </c>
      <c r="C127" s="1329">
        <v>0</v>
      </c>
      <c r="D127" s="1329">
        <v>0</v>
      </c>
      <c r="E127" s="1329">
        <v>0</v>
      </c>
      <c r="F127" s="1329">
        <v>0</v>
      </c>
      <c r="G127" s="1329">
        <v>0</v>
      </c>
      <c r="H127" s="1329">
        <v>0</v>
      </c>
      <c r="I127" s="1329">
        <v>0</v>
      </c>
      <c r="J127" s="1329">
        <v>0</v>
      </c>
      <c r="K127" s="1329">
        <v>0</v>
      </c>
      <c r="L127" s="1329">
        <v>0</v>
      </c>
      <c r="M127" s="1329">
        <v>0</v>
      </c>
      <c r="N127" s="1329">
        <v>0</v>
      </c>
    </row>
    <row r="128" spans="1:14" ht="22.5" x14ac:dyDescent="0.25">
      <c r="A128" s="1330" t="s">
        <v>1303</v>
      </c>
      <c r="B128" s="1321" t="s">
        <v>1304</v>
      </c>
      <c r="C128" s="1329">
        <v>0</v>
      </c>
      <c r="D128" s="1329">
        <v>0</v>
      </c>
      <c r="E128" s="1329">
        <v>0</v>
      </c>
      <c r="F128" s="1329">
        <v>0</v>
      </c>
      <c r="G128" s="1329">
        <v>0</v>
      </c>
      <c r="H128" s="1329">
        <v>0</v>
      </c>
      <c r="I128" s="1329">
        <v>0</v>
      </c>
      <c r="J128" s="1329">
        <v>0</v>
      </c>
      <c r="K128" s="1329">
        <v>0</v>
      </c>
      <c r="L128" s="1329">
        <v>0</v>
      </c>
      <c r="M128" s="1329">
        <v>0</v>
      </c>
      <c r="N128" s="1329">
        <v>0</v>
      </c>
    </row>
    <row r="129" spans="1:14" x14ac:dyDescent="0.25">
      <c r="A129" s="1330" t="s">
        <v>1305</v>
      </c>
      <c r="B129" s="1321" t="s">
        <v>1306</v>
      </c>
      <c r="C129" s="1329">
        <v>0</v>
      </c>
      <c r="D129" s="1329">
        <v>0</v>
      </c>
      <c r="E129" s="1329">
        <v>0</v>
      </c>
      <c r="F129" s="1329">
        <v>0</v>
      </c>
      <c r="G129" s="1329">
        <v>0</v>
      </c>
      <c r="H129" s="1329">
        <v>0</v>
      </c>
      <c r="I129" s="1329">
        <v>0</v>
      </c>
      <c r="J129" s="1329">
        <v>0</v>
      </c>
      <c r="K129" s="1329">
        <v>0</v>
      </c>
      <c r="L129" s="1329">
        <v>0</v>
      </c>
      <c r="M129" s="1329">
        <v>0</v>
      </c>
      <c r="N129" s="1329">
        <v>0</v>
      </c>
    </row>
    <row r="130" spans="1:14" ht="33.75" x14ac:dyDescent="0.25">
      <c r="A130" s="1330" t="s">
        <v>1307</v>
      </c>
      <c r="B130" s="1321" t="s">
        <v>1308</v>
      </c>
      <c r="C130" s="1329">
        <v>0</v>
      </c>
      <c r="D130" s="1329">
        <v>0</v>
      </c>
      <c r="E130" s="1329">
        <v>0</v>
      </c>
      <c r="F130" s="1329">
        <v>0</v>
      </c>
      <c r="G130" s="1329">
        <v>0</v>
      </c>
      <c r="H130" s="1329">
        <v>0</v>
      </c>
      <c r="I130" s="1329">
        <v>0</v>
      </c>
      <c r="J130" s="1329">
        <v>0</v>
      </c>
      <c r="K130" s="1329">
        <v>0</v>
      </c>
      <c r="L130" s="1329">
        <v>0</v>
      </c>
      <c r="M130" s="1329">
        <v>0</v>
      </c>
      <c r="N130" s="1329">
        <v>0</v>
      </c>
    </row>
    <row r="131" spans="1:14" ht="22.5" x14ac:dyDescent="0.25">
      <c r="A131" s="1330" t="s">
        <v>1309</v>
      </c>
      <c r="B131" s="1321" t="s">
        <v>1310</v>
      </c>
      <c r="C131" s="1329">
        <v>0</v>
      </c>
      <c r="D131" s="1329">
        <v>0</v>
      </c>
      <c r="E131" s="1329">
        <v>0</v>
      </c>
      <c r="F131" s="1329">
        <v>0</v>
      </c>
      <c r="G131" s="1329">
        <v>0</v>
      </c>
      <c r="H131" s="1329">
        <v>0</v>
      </c>
      <c r="I131" s="1329">
        <v>0</v>
      </c>
      <c r="J131" s="1329">
        <v>0</v>
      </c>
      <c r="K131" s="1329">
        <v>0</v>
      </c>
      <c r="L131" s="1329">
        <v>0</v>
      </c>
      <c r="M131" s="1329">
        <v>0</v>
      </c>
      <c r="N131" s="1329">
        <v>0</v>
      </c>
    </row>
    <row r="132" spans="1:14" ht="33.75" x14ac:dyDescent="0.25">
      <c r="A132" s="1321"/>
      <c r="B132" s="1321" t="s">
        <v>1311</v>
      </c>
      <c r="C132" s="1329">
        <v>0</v>
      </c>
      <c r="D132" s="1329">
        <v>0</v>
      </c>
      <c r="E132" s="1329">
        <v>0</v>
      </c>
      <c r="F132" s="1329">
        <v>0</v>
      </c>
      <c r="G132" s="1329">
        <v>0</v>
      </c>
      <c r="H132" s="1329">
        <v>0</v>
      </c>
      <c r="I132" s="1329">
        <v>0</v>
      </c>
      <c r="J132" s="1329">
        <v>0</v>
      </c>
      <c r="K132" s="1329">
        <v>0</v>
      </c>
      <c r="L132" s="1329">
        <v>0</v>
      </c>
      <c r="M132" s="1329">
        <v>0</v>
      </c>
      <c r="N132" s="1329">
        <v>0</v>
      </c>
    </row>
    <row r="133" spans="1:14" ht="22.5" x14ac:dyDescent="0.25">
      <c r="A133" s="3335"/>
      <c r="B133" s="1334" t="s">
        <v>1312</v>
      </c>
      <c r="C133" s="3332">
        <v>0</v>
      </c>
      <c r="D133" s="3332">
        <v>0</v>
      </c>
      <c r="E133" s="3332">
        <v>0</v>
      </c>
      <c r="F133" s="3332">
        <v>0</v>
      </c>
      <c r="G133" s="3332">
        <v>0</v>
      </c>
      <c r="H133" s="3332">
        <v>0</v>
      </c>
      <c r="I133" s="3332">
        <v>0</v>
      </c>
      <c r="J133" s="3332">
        <v>0</v>
      </c>
      <c r="K133" s="3332">
        <v>0</v>
      </c>
      <c r="L133" s="3332">
        <v>0</v>
      </c>
      <c r="M133" s="3332">
        <v>0</v>
      </c>
      <c r="N133" s="3332">
        <v>0</v>
      </c>
    </row>
    <row r="134" spans="1:14" x14ac:dyDescent="0.25">
      <c r="A134" s="3335"/>
      <c r="B134" s="1321" t="s">
        <v>1313</v>
      </c>
      <c r="C134" s="3332"/>
      <c r="D134" s="3332"/>
      <c r="E134" s="3332"/>
      <c r="F134" s="3332"/>
      <c r="G134" s="3332"/>
      <c r="H134" s="3332"/>
      <c r="I134" s="3332"/>
      <c r="J134" s="3332"/>
      <c r="K134" s="3332"/>
      <c r="L134" s="3332"/>
      <c r="M134" s="3332"/>
      <c r="N134" s="3332"/>
    </row>
    <row r="135" spans="1:14" ht="22.5" x14ac:dyDescent="0.25">
      <c r="A135" s="1330" t="s">
        <v>1314</v>
      </c>
      <c r="B135" s="1321" t="s">
        <v>1315</v>
      </c>
      <c r="C135" s="1329">
        <v>0</v>
      </c>
      <c r="D135" s="1329">
        <v>0</v>
      </c>
      <c r="E135" s="1329">
        <v>0</v>
      </c>
      <c r="F135" s="1329">
        <v>0</v>
      </c>
      <c r="G135" s="1329">
        <v>0</v>
      </c>
      <c r="H135" s="1329">
        <v>0</v>
      </c>
      <c r="I135" s="1329">
        <v>0</v>
      </c>
      <c r="J135" s="1329">
        <v>0</v>
      </c>
      <c r="K135" s="1329">
        <v>0</v>
      </c>
      <c r="L135" s="1329">
        <v>0</v>
      </c>
      <c r="M135" s="1329">
        <v>0</v>
      </c>
      <c r="N135" s="1329">
        <v>0</v>
      </c>
    </row>
    <row r="136" spans="1:14" x14ac:dyDescent="0.25">
      <c r="A136" s="1330" t="s">
        <v>11</v>
      </c>
      <c r="B136" s="1321" t="s">
        <v>97</v>
      </c>
      <c r="C136" s="1329">
        <v>0</v>
      </c>
      <c r="D136" s="1329">
        <v>0</v>
      </c>
      <c r="E136" s="1329">
        <v>0</v>
      </c>
      <c r="F136" s="1329">
        <v>0</v>
      </c>
      <c r="G136" s="1329">
        <v>0</v>
      </c>
      <c r="H136" s="1329">
        <v>0</v>
      </c>
      <c r="I136" s="1329">
        <v>0</v>
      </c>
      <c r="J136" s="1329">
        <v>0</v>
      </c>
      <c r="K136" s="1329">
        <v>0</v>
      </c>
      <c r="L136" s="1329">
        <v>0</v>
      </c>
      <c r="M136" s="1329">
        <v>0</v>
      </c>
      <c r="N136" s="1329">
        <v>0</v>
      </c>
    </row>
    <row r="137" spans="1:14" ht="22.5" x14ac:dyDescent="0.25">
      <c r="A137" s="1330">
        <v>1</v>
      </c>
      <c r="B137" s="1321" t="s">
        <v>1316</v>
      </c>
      <c r="C137" s="1329">
        <v>0</v>
      </c>
      <c r="D137" s="1329">
        <v>0</v>
      </c>
      <c r="E137" s="1329">
        <v>0</v>
      </c>
      <c r="F137" s="1329">
        <v>0</v>
      </c>
      <c r="G137" s="1329">
        <v>0</v>
      </c>
      <c r="H137" s="1329">
        <v>0</v>
      </c>
      <c r="I137" s="1329">
        <v>0</v>
      </c>
      <c r="J137" s="1329">
        <v>0</v>
      </c>
      <c r="K137" s="1329">
        <v>0</v>
      </c>
      <c r="L137" s="1329">
        <v>0</v>
      </c>
      <c r="M137" s="1329">
        <v>0</v>
      </c>
      <c r="N137" s="1329">
        <v>0</v>
      </c>
    </row>
    <row r="138" spans="1:14" x14ac:dyDescent="0.25">
      <c r="A138" s="1330" t="s">
        <v>7</v>
      </c>
      <c r="B138" s="1321" t="s">
        <v>16</v>
      </c>
      <c r="C138" s="1329">
        <v>0</v>
      </c>
      <c r="D138" s="1329">
        <v>0</v>
      </c>
      <c r="E138" s="1329">
        <v>0</v>
      </c>
      <c r="F138" s="1329">
        <v>0</v>
      </c>
      <c r="G138" s="1329">
        <v>0</v>
      </c>
      <c r="H138" s="1329">
        <v>0</v>
      </c>
      <c r="I138" s="1329">
        <v>0</v>
      </c>
      <c r="J138" s="1329">
        <v>0</v>
      </c>
      <c r="K138" s="1329">
        <v>0</v>
      </c>
      <c r="L138" s="1329">
        <v>0</v>
      </c>
      <c r="M138" s="1329">
        <v>0</v>
      </c>
      <c r="N138" s="1329">
        <v>0</v>
      </c>
    </row>
    <row r="139" spans="1:14" x14ac:dyDescent="0.25">
      <c r="A139" s="1330" t="s">
        <v>38</v>
      </c>
      <c r="B139" s="1321" t="s">
        <v>15</v>
      </c>
      <c r="C139" s="1329">
        <v>0</v>
      </c>
      <c r="D139" s="1329">
        <v>0</v>
      </c>
      <c r="E139" s="1329">
        <v>0</v>
      </c>
      <c r="F139" s="1329">
        <v>0</v>
      </c>
      <c r="G139" s="1329">
        <v>0</v>
      </c>
      <c r="H139" s="1329">
        <v>0</v>
      </c>
      <c r="I139" s="1329">
        <v>0</v>
      </c>
      <c r="J139" s="1329">
        <v>0</v>
      </c>
      <c r="K139" s="1329">
        <v>0</v>
      </c>
      <c r="L139" s="1329">
        <v>0</v>
      </c>
      <c r="M139" s="1329">
        <v>0</v>
      </c>
      <c r="N139" s="1329">
        <v>0</v>
      </c>
    </row>
    <row r="140" spans="1:14" ht="22.5" x14ac:dyDescent="0.25">
      <c r="A140" s="1330" t="s">
        <v>39</v>
      </c>
      <c r="B140" s="1321" t="s">
        <v>1317</v>
      </c>
      <c r="C140" s="1329">
        <v>0</v>
      </c>
      <c r="D140" s="1329">
        <v>0</v>
      </c>
      <c r="E140" s="1329">
        <v>0</v>
      </c>
      <c r="F140" s="1329">
        <v>0</v>
      </c>
      <c r="G140" s="1329">
        <v>0</v>
      </c>
      <c r="H140" s="1329">
        <v>0</v>
      </c>
      <c r="I140" s="1329">
        <v>0</v>
      </c>
      <c r="J140" s="1329">
        <v>0</v>
      </c>
      <c r="K140" s="1329">
        <v>0</v>
      </c>
      <c r="L140" s="1329">
        <v>0</v>
      </c>
      <c r="M140" s="1329">
        <v>0</v>
      </c>
      <c r="N140" s="1329">
        <v>0</v>
      </c>
    </row>
    <row r="141" spans="1:14" ht="22.5" x14ac:dyDescent="0.25">
      <c r="A141" s="1330" t="s">
        <v>40</v>
      </c>
      <c r="B141" s="1321" t="s">
        <v>1318</v>
      </c>
      <c r="C141" s="1329">
        <v>0</v>
      </c>
      <c r="D141" s="1329">
        <v>0</v>
      </c>
      <c r="E141" s="1329">
        <v>0</v>
      </c>
      <c r="F141" s="1329">
        <v>0</v>
      </c>
      <c r="G141" s="1329">
        <v>0</v>
      </c>
      <c r="H141" s="1329">
        <v>0</v>
      </c>
      <c r="I141" s="1329">
        <v>0</v>
      </c>
      <c r="J141" s="1329">
        <v>0</v>
      </c>
      <c r="K141" s="1329">
        <v>0</v>
      </c>
      <c r="L141" s="1329">
        <v>0</v>
      </c>
      <c r="M141" s="1329">
        <v>0</v>
      </c>
      <c r="N141" s="1329">
        <v>0</v>
      </c>
    </row>
    <row r="142" spans="1:14" x14ac:dyDescent="0.25">
      <c r="A142" s="1330" t="s">
        <v>41</v>
      </c>
      <c r="B142" s="1321" t="s">
        <v>1319</v>
      </c>
      <c r="C142" s="1329">
        <v>0</v>
      </c>
      <c r="D142" s="1329">
        <v>0</v>
      </c>
      <c r="E142" s="1329">
        <v>0</v>
      </c>
      <c r="F142" s="1329">
        <v>0</v>
      </c>
      <c r="G142" s="1329">
        <v>0</v>
      </c>
      <c r="H142" s="1329">
        <v>0</v>
      </c>
      <c r="I142" s="1329">
        <v>0</v>
      </c>
      <c r="J142" s="1329">
        <v>0</v>
      </c>
      <c r="K142" s="1329">
        <v>0</v>
      </c>
      <c r="L142" s="1329">
        <v>0</v>
      </c>
      <c r="M142" s="1329">
        <v>0</v>
      </c>
      <c r="N142" s="1329">
        <v>0</v>
      </c>
    </row>
    <row r="143" spans="1:14" x14ac:dyDescent="0.25">
      <c r="A143" s="1330" t="s">
        <v>42</v>
      </c>
      <c r="B143" s="1321" t="s">
        <v>1320</v>
      </c>
      <c r="C143" s="1329">
        <v>0</v>
      </c>
      <c r="D143" s="1329">
        <v>0</v>
      </c>
      <c r="E143" s="1329">
        <v>0</v>
      </c>
      <c r="F143" s="1329">
        <v>0</v>
      </c>
      <c r="G143" s="1329">
        <v>0</v>
      </c>
      <c r="H143" s="1329">
        <v>0</v>
      </c>
      <c r="I143" s="1329">
        <v>0</v>
      </c>
      <c r="J143" s="1329">
        <v>0</v>
      </c>
      <c r="K143" s="1329">
        <v>0</v>
      </c>
      <c r="L143" s="1329">
        <v>0</v>
      </c>
      <c r="M143" s="1329">
        <v>0</v>
      </c>
      <c r="N143" s="1329">
        <v>0</v>
      </c>
    </row>
    <row r="144" spans="1:14" x14ac:dyDescent="0.25">
      <c r="A144" s="1330" t="s">
        <v>118</v>
      </c>
      <c r="B144" s="1321" t="s">
        <v>1321</v>
      </c>
      <c r="C144" s="1329">
        <v>0</v>
      </c>
      <c r="D144" s="1329">
        <v>0</v>
      </c>
      <c r="E144" s="1329">
        <v>0</v>
      </c>
      <c r="F144" s="1329">
        <v>0</v>
      </c>
      <c r="G144" s="1329">
        <v>0</v>
      </c>
      <c r="H144" s="1329">
        <v>0</v>
      </c>
      <c r="I144" s="1329">
        <v>0</v>
      </c>
      <c r="J144" s="1329">
        <v>0</v>
      </c>
      <c r="K144" s="1329">
        <v>0</v>
      </c>
      <c r="L144" s="1329">
        <v>0</v>
      </c>
      <c r="M144" s="1329">
        <v>0</v>
      </c>
      <c r="N144" s="1329">
        <v>0</v>
      </c>
    </row>
    <row r="145" spans="1:14" x14ac:dyDescent="0.25">
      <c r="A145" s="1330" t="s">
        <v>120</v>
      </c>
      <c r="B145" s="1321" t="s">
        <v>1322</v>
      </c>
      <c r="C145" s="1329">
        <v>0</v>
      </c>
      <c r="D145" s="1329">
        <v>0</v>
      </c>
      <c r="E145" s="1329">
        <v>0</v>
      </c>
      <c r="F145" s="1329">
        <v>0</v>
      </c>
      <c r="G145" s="1329">
        <v>0</v>
      </c>
      <c r="H145" s="1329">
        <v>0</v>
      </c>
      <c r="I145" s="1329">
        <v>0</v>
      </c>
      <c r="J145" s="1329">
        <v>0</v>
      </c>
      <c r="K145" s="1329">
        <v>0</v>
      </c>
      <c r="L145" s="1329">
        <v>0</v>
      </c>
      <c r="M145" s="1329">
        <v>0</v>
      </c>
      <c r="N145" s="1329">
        <v>0</v>
      </c>
    </row>
    <row r="146" spans="1:14" ht="22.5" x14ac:dyDescent="0.25">
      <c r="A146" s="1330">
        <v>2</v>
      </c>
      <c r="B146" s="1321" t="s">
        <v>1323</v>
      </c>
      <c r="C146" s="1329">
        <v>0</v>
      </c>
      <c r="D146" s="1329">
        <v>0</v>
      </c>
      <c r="E146" s="1329">
        <v>0</v>
      </c>
      <c r="F146" s="1329">
        <v>0</v>
      </c>
      <c r="G146" s="1329">
        <v>0</v>
      </c>
      <c r="H146" s="1329">
        <v>0</v>
      </c>
      <c r="I146" s="1329">
        <v>0</v>
      </c>
      <c r="J146" s="1329">
        <v>0</v>
      </c>
      <c r="K146" s="1329">
        <v>0</v>
      </c>
      <c r="L146" s="1329">
        <v>0</v>
      </c>
      <c r="M146" s="1329">
        <v>0</v>
      </c>
      <c r="N146" s="1329">
        <v>0</v>
      </c>
    </row>
    <row r="147" spans="1:14" x14ac:dyDescent="0.25">
      <c r="A147" s="1330" t="s">
        <v>43</v>
      </c>
      <c r="B147" s="1321" t="s">
        <v>16</v>
      </c>
      <c r="C147" s="1329">
        <v>0</v>
      </c>
      <c r="D147" s="1329">
        <v>0</v>
      </c>
      <c r="E147" s="1329">
        <v>0</v>
      </c>
      <c r="F147" s="1329">
        <v>0</v>
      </c>
      <c r="G147" s="1329">
        <v>0</v>
      </c>
      <c r="H147" s="1329">
        <v>0</v>
      </c>
      <c r="I147" s="1329">
        <v>0</v>
      </c>
      <c r="J147" s="1329">
        <v>0</v>
      </c>
      <c r="K147" s="1329">
        <v>0</v>
      </c>
      <c r="L147" s="1329">
        <v>0</v>
      </c>
      <c r="M147" s="1329">
        <v>0</v>
      </c>
      <c r="N147" s="1329">
        <v>0</v>
      </c>
    </row>
    <row r="148" spans="1:14" x14ac:dyDescent="0.25">
      <c r="A148" s="1330" t="s">
        <v>44</v>
      </c>
      <c r="B148" s="1321" t="s">
        <v>15</v>
      </c>
      <c r="C148" s="1329">
        <v>0</v>
      </c>
      <c r="D148" s="1329">
        <v>0</v>
      </c>
      <c r="E148" s="1329">
        <v>0</v>
      </c>
      <c r="F148" s="1329">
        <v>0</v>
      </c>
      <c r="G148" s="1329">
        <v>0</v>
      </c>
      <c r="H148" s="1329">
        <v>0</v>
      </c>
      <c r="I148" s="1329">
        <v>0</v>
      </c>
      <c r="J148" s="1329">
        <v>0</v>
      </c>
      <c r="K148" s="1329">
        <v>0</v>
      </c>
      <c r="L148" s="1329">
        <v>0</v>
      </c>
      <c r="M148" s="1329">
        <v>0</v>
      </c>
      <c r="N148" s="1329">
        <v>0</v>
      </c>
    </row>
    <row r="149" spans="1:14" ht="22.5" x14ac:dyDescent="0.25">
      <c r="A149" s="1330" t="s">
        <v>51</v>
      </c>
      <c r="B149" s="1321" t="s">
        <v>1324</v>
      </c>
      <c r="C149" s="1329">
        <v>0</v>
      </c>
      <c r="D149" s="1329">
        <v>0</v>
      </c>
      <c r="E149" s="1329">
        <v>0</v>
      </c>
      <c r="F149" s="1329">
        <v>0</v>
      </c>
      <c r="G149" s="1329">
        <v>0</v>
      </c>
      <c r="H149" s="1329">
        <v>0</v>
      </c>
      <c r="I149" s="1329">
        <v>0</v>
      </c>
      <c r="J149" s="1329">
        <v>0</v>
      </c>
      <c r="K149" s="1329">
        <v>0</v>
      </c>
      <c r="L149" s="1329">
        <v>0</v>
      </c>
      <c r="M149" s="1329">
        <v>0</v>
      </c>
      <c r="N149" s="1329">
        <v>0</v>
      </c>
    </row>
    <row r="150" spans="1:14" ht="22.5" x14ac:dyDescent="0.25">
      <c r="A150" s="1330" t="s">
        <v>130</v>
      </c>
      <c r="B150" s="1321" t="s">
        <v>1317</v>
      </c>
      <c r="C150" s="1329">
        <v>0</v>
      </c>
      <c r="D150" s="1329">
        <v>0</v>
      </c>
      <c r="E150" s="1329">
        <v>0</v>
      </c>
      <c r="F150" s="1329">
        <v>0</v>
      </c>
      <c r="G150" s="1329">
        <v>0</v>
      </c>
      <c r="H150" s="1329">
        <v>0</v>
      </c>
      <c r="I150" s="1329">
        <v>0</v>
      </c>
      <c r="J150" s="1329">
        <v>0</v>
      </c>
      <c r="K150" s="1329">
        <v>0</v>
      </c>
      <c r="L150" s="1329">
        <v>0</v>
      </c>
      <c r="M150" s="1329">
        <v>0</v>
      </c>
      <c r="N150" s="1329">
        <v>0</v>
      </c>
    </row>
    <row r="151" spans="1:14" x14ac:dyDescent="0.25">
      <c r="A151" s="1330" t="s">
        <v>131</v>
      </c>
      <c r="B151" s="1321" t="s">
        <v>1319</v>
      </c>
      <c r="C151" s="1329">
        <v>0</v>
      </c>
      <c r="D151" s="1329">
        <v>0</v>
      </c>
      <c r="E151" s="1329">
        <v>0</v>
      </c>
      <c r="F151" s="1329">
        <v>0</v>
      </c>
      <c r="G151" s="1329">
        <v>0</v>
      </c>
      <c r="H151" s="1329">
        <v>0</v>
      </c>
      <c r="I151" s="1329">
        <v>0</v>
      </c>
      <c r="J151" s="1329">
        <v>0</v>
      </c>
      <c r="K151" s="1329">
        <v>0</v>
      </c>
      <c r="L151" s="1329">
        <v>0</v>
      </c>
      <c r="M151" s="1329">
        <v>0</v>
      </c>
      <c r="N151" s="1329">
        <v>0</v>
      </c>
    </row>
    <row r="152" spans="1:14" x14ac:dyDescent="0.25">
      <c r="A152" s="1330" t="s">
        <v>132</v>
      </c>
      <c r="B152" s="1321" t="s">
        <v>1325</v>
      </c>
      <c r="C152" s="1329">
        <v>0</v>
      </c>
      <c r="D152" s="1329">
        <v>0</v>
      </c>
      <c r="E152" s="1329">
        <v>0</v>
      </c>
      <c r="F152" s="1329">
        <v>0</v>
      </c>
      <c r="G152" s="1329">
        <v>0</v>
      </c>
      <c r="H152" s="1329">
        <v>0</v>
      </c>
      <c r="I152" s="1329">
        <v>0</v>
      </c>
      <c r="J152" s="1329">
        <v>0</v>
      </c>
      <c r="K152" s="1329">
        <v>0</v>
      </c>
      <c r="L152" s="1329">
        <v>0</v>
      </c>
      <c r="M152" s="1329">
        <v>0</v>
      </c>
      <c r="N152" s="1329">
        <v>0</v>
      </c>
    </row>
    <row r="153" spans="1:14" x14ac:dyDescent="0.25">
      <c r="A153" s="1330" t="s">
        <v>133</v>
      </c>
      <c r="B153" s="1321" t="s">
        <v>1326</v>
      </c>
      <c r="C153" s="1329">
        <v>0</v>
      </c>
      <c r="D153" s="1329">
        <v>0</v>
      </c>
      <c r="E153" s="1329">
        <v>0</v>
      </c>
      <c r="F153" s="1329">
        <v>0</v>
      </c>
      <c r="G153" s="1329">
        <v>0</v>
      </c>
      <c r="H153" s="1329">
        <v>0</v>
      </c>
      <c r="I153" s="1329">
        <v>0</v>
      </c>
      <c r="J153" s="1329">
        <v>0</v>
      </c>
      <c r="K153" s="1329">
        <v>0</v>
      </c>
      <c r="L153" s="1329">
        <v>0</v>
      </c>
      <c r="M153" s="1329">
        <v>0</v>
      </c>
      <c r="N153" s="1329">
        <v>0</v>
      </c>
    </row>
    <row r="154" spans="1:14" x14ac:dyDescent="0.25">
      <c r="A154" s="1330" t="s">
        <v>134</v>
      </c>
      <c r="B154" s="1321" t="s">
        <v>1322</v>
      </c>
      <c r="C154" s="1329">
        <v>0</v>
      </c>
      <c r="D154" s="1329">
        <v>0</v>
      </c>
      <c r="E154" s="1329">
        <v>0</v>
      </c>
      <c r="F154" s="1329">
        <v>0</v>
      </c>
      <c r="G154" s="1329">
        <v>0</v>
      </c>
      <c r="H154" s="1329">
        <v>0</v>
      </c>
      <c r="I154" s="1329">
        <v>0</v>
      </c>
      <c r="J154" s="1329">
        <v>0</v>
      </c>
      <c r="K154" s="1329">
        <v>0</v>
      </c>
      <c r="L154" s="1329">
        <v>0</v>
      </c>
      <c r="M154" s="1329">
        <v>0</v>
      </c>
      <c r="N154" s="1329">
        <v>0</v>
      </c>
    </row>
    <row r="155" spans="1:14" ht="22.5" x14ac:dyDescent="0.25">
      <c r="A155" s="1330" t="s">
        <v>17</v>
      </c>
      <c r="B155" s="1321" t="s">
        <v>1327</v>
      </c>
      <c r="C155" s="1329">
        <v>0</v>
      </c>
      <c r="D155" s="1329">
        <v>0</v>
      </c>
      <c r="E155" s="1329">
        <v>0</v>
      </c>
      <c r="F155" s="1329">
        <v>0</v>
      </c>
      <c r="G155" s="1329">
        <v>0</v>
      </c>
      <c r="H155" s="1329">
        <v>0</v>
      </c>
      <c r="I155" s="1329">
        <v>0</v>
      </c>
      <c r="J155" s="1329">
        <v>0</v>
      </c>
      <c r="K155" s="1329">
        <v>0</v>
      </c>
      <c r="L155" s="1329">
        <v>0</v>
      </c>
      <c r="M155" s="1329">
        <v>0</v>
      </c>
      <c r="N155" s="1329">
        <v>0</v>
      </c>
    </row>
    <row r="156" spans="1:14" x14ac:dyDescent="0.25">
      <c r="A156" s="1330">
        <v>1</v>
      </c>
      <c r="B156" s="1321" t="s">
        <v>1328</v>
      </c>
      <c r="C156" s="1329">
        <v>0</v>
      </c>
      <c r="D156" s="1329">
        <v>0</v>
      </c>
      <c r="E156" s="1329">
        <v>0</v>
      </c>
      <c r="F156" s="1329">
        <v>0</v>
      </c>
      <c r="G156" s="1329">
        <v>0</v>
      </c>
      <c r="H156" s="1329">
        <v>0</v>
      </c>
      <c r="I156" s="1329">
        <v>0</v>
      </c>
      <c r="J156" s="1329">
        <v>0</v>
      </c>
      <c r="K156" s="1329">
        <v>0</v>
      </c>
      <c r="L156" s="1329">
        <v>0</v>
      </c>
      <c r="M156" s="1329">
        <v>0</v>
      </c>
      <c r="N156" s="1329">
        <v>0</v>
      </c>
    </row>
    <row r="157" spans="1:14" x14ac:dyDescent="0.25">
      <c r="A157" s="1330" t="s">
        <v>7</v>
      </c>
      <c r="B157" s="1321" t="s">
        <v>1329</v>
      </c>
      <c r="C157" s="1329">
        <v>0</v>
      </c>
      <c r="D157" s="1329">
        <v>0</v>
      </c>
      <c r="E157" s="1329">
        <v>0</v>
      </c>
      <c r="F157" s="1329">
        <v>0</v>
      </c>
      <c r="G157" s="1329">
        <v>0</v>
      </c>
      <c r="H157" s="1329">
        <v>0</v>
      </c>
      <c r="I157" s="1329">
        <v>0</v>
      </c>
      <c r="J157" s="1329">
        <v>0</v>
      </c>
      <c r="K157" s="1329">
        <v>0</v>
      </c>
      <c r="L157" s="1329">
        <v>0</v>
      </c>
      <c r="M157" s="1329">
        <v>0</v>
      </c>
      <c r="N157" s="1329">
        <v>0</v>
      </c>
    </row>
    <row r="158" spans="1:14" x14ac:dyDescent="0.25">
      <c r="A158" s="1330" t="s">
        <v>38</v>
      </c>
      <c r="B158" s="1321" t="s">
        <v>1330</v>
      </c>
      <c r="C158" s="1329">
        <v>0</v>
      </c>
      <c r="D158" s="1329">
        <v>0</v>
      </c>
      <c r="E158" s="1329">
        <v>0</v>
      </c>
      <c r="F158" s="1329">
        <v>0</v>
      </c>
      <c r="G158" s="1329">
        <v>0</v>
      </c>
      <c r="H158" s="1329">
        <v>0</v>
      </c>
      <c r="I158" s="1329">
        <v>0</v>
      </c>
      <c r="J158" s="1329">
        <v>0</v>
      </c>
      <c r="K158" s="1329">
        <v>0</v>
      </c>
      <c r="L158" s="1329">
        <v>0</v>
      </c>
      <c r="M158" s="1329">
        <v>0</v>
      </c>
      <c r="N158" s="1329">
        <v>0</v>
      </c>
    </row>
    <row r="159" spans="1:14" ht="22.5" x14ac:dyDescent="0.25">
      <c r="A159" s="1330" t="s">
        <v>39</v>
      </c>
      <c r="B159" s="1321" t="s">
        <v>1331</v>
      </c>
      <c r="C159" s="1329">
        <v>0</v>
      </c>
      <c r="D159" s="1329">
        <v>0</v>
      </c>
      <c r="E159" s="1329">
        <v>0</v>
      </c>
      <c r="F159" s="1329">
        <v>0</v>
      </c>
      <c r="G159" s="1329">
        <v>0</v>
      </c>
      <c r="H159" s="1329">
        <v>0</v>
      </c>
      <c r="I159" s="1329">
        <v>0</v>
      </c>
      <c r="J159" s="1329">
        <v>0</v>
      </c>
      <c r="K159" s="1329">
        <v>0</v>
      </c>
      <c r="L159" s="1329">
        <v>0</v>
      </c>
      <c r="M159" s="1329">
        <v>0</v>
      </c>
      <c r="N159" s="1329">
        <v>0</v>
      </c>
    </row>
    <row r="160" spans="1:14" ht="22.5" x14ac:dyDescent="0.25">
      <c r="A160" s="1330" t="s">
        <v>40</v>
      </c>
      <c r="B160" s="1321" t="s">
        <v>1332</v>
      </c>
      <c r="C160" s="1329">
        <v>0</v>
      </c>
      <c r="D160" s="1329">
        <v>0</v>
      </c>
      <c r="E160" s="1329">
        <v>0</v>
      </c>
      <c r="F160" s="1329">
        <v>0</v>
      </c>
      <c r="G160" s="1329">
        <v>0</v>
      </c>
      <c r="H160" s="1329">
        <v>0</v>
      </c>
      <c r="I160" s="1329">
        <v>0</v>
      </c>
      <c r="J160" s="1329">
        <v>0</v>
      </c>
      <c r="K160" s="1329">
        <v>0</v>
      </c>
      <c r="L160" s="1329">
        <v>0</v>
      </c>
      <c r="M160" s="1329">
        <v>0</v>
      </c>
      <c r="N160" s="1329">
        <v>0</v>
      </c>
    </row>
    <row r="161" spans="1:14" ht="22.5" x14ac:dyDescent="0.25">
      <c r="A161" s="1330" t="s">
        <v>41</v>
      </c>
      <c r="B161" s="1321" t="s">
        <v>1333</v>
      </c>
      <c r="C161" s="1329">
        <v>0</v>
      </c>
      <c r="D161" s="1329">
        <v>0</v>
      </c>
      <c r="E161" s="1329">
        <v>0</v>
      </c>
      <c r="F161" s="1329">
        <v>0</v>
      </c>
      <c r="G161" s="1329">
        <v>0</v>
      </c>
      <c r="H161" s="1329">
        <v>0</v>
      </c>
      <c r="I161" s="1329">
        <v>0</v>
      </c>
      <c r="J161" s="1329">
        <v>0</v>
      </c>
      <c r="K161" s="1329">
        <v>0</v>
      </c>
      <c r="L161" s="1329">
        <v>0</v>
      </c>
      <c r="M161" s="1329">
        <v>0</v>
      </c>
      <c r="N161" s="1329">
        <v>0</v>
      </c>
    </row>
    <row r="162" spans="1:14" x14ac:dyDescent="0.25">
      <c r="A162" s="1327"/>
      <c r="B162" s="1321" t="s">
        <v>1334</v>
      </c>
      <c r="C162" s="1329">
        <v>0</v>
      </c>
      <c r="D162" s="1329">
        <v>0</v>
      </c>
      <c r="E162" s="1329">
        <v>0</v>
      </c>
      <c r="F162" s="1329">
        <v>0</v>
      </c>
      <c r="G162" s="1329">
        <v>0</v>
      </c>
      <c r="H162" s="1329">
        <v>0</v>
      </c>
      <c r="I162" s="1329">
        <v>0</v>
      </c>
      <c r="J162" s="1329">
        <v>0</v>
      </c>
      <c r="K162" s="1329">
        <v>0</v>
      </c>
      <c r="L162" s="1329">
        <v>0</v>
      </c>
      <c r="M162" s="1329">
        <v>0</v>
      </c>
      <c r="N162" s="1329">
        <v>0</v>
      </c>
    </row>
    <row r="163" spans="1:14" x14ac:dyDescent="0.25">
      <c r="A163" s="1327"/>
      <c r="B163" s="1334" t="s">
        <v>1335</v>
      </c>
      <c r="C163" s="1329">
        <v>0</v>
      </c>
      <c r="D163" s="1329">
        <v>0</v>
      </c>
      <c r="E163" s="1329">
        <v>0</v>
      </c>
      <c r="F163" s="1329">
        <v>0</v>
      </c>
      <c r="G163" s="1329">
        <v>0</v>
      </c>
      <c r="H163" s="1329">
        <v>0</v>
      </c>
      <c r="I163" s="1329">
        <v>0</v>
      </c>
      <c r="J163" s="1329">
        <v>0</v>
      </c>
      <c r="K163" s="1329">
        <v>0</v>
      </c>
      <c r="L163" s="1329">
        <v>0</v>
      </c>
      <c r="M163" s="1329">
        <v>0</v>
      </c>
      <c r="N163" s="1329">
        <v>0</v>
      </c>
    </row>
    <row r="164" spans="1:14" ht="22.5" x14ac:dyDescent="0.25">
      <c r="A164" s="1327"/>
      <c r="B164" s="1334" t="s">
        <v>1336</v>
      </c>
      <c r="C164" s="1329">
        <v>0</v>
      </c>
      <c r="D164" s="1329">
        <v>0</v>
      </c>
      <c r="E164" s="1329">
        <v>0</v>
      </c>
      <c r="F164" s="1329">
        <v>0</v>
      </c>
      <c r="G164" s="1329">
        <v>0</v>
      </c>
      <c r="H164" s="1329">
        <v>0</v>
      </c>
      <c r="I164" s="1329">
        <v>0</v>
      </c>
      <c r="J164" s="1329">
        <v>0</v>
      </c>
      <c r="K164" s="1329">
        <v>0</v>
      </c>
      <c r="L164" s="1329">
        <v>0</v>
      </c>
      <c r="M164" s="1329">
        <v>0</v>
      </c>
      <c r="N164" s="1329">
        <v>0</v>
      </c>
    </row>
    <row r="165" spans="1:14" x14ac:dyDescent="0.25">
      <c r="A165" s="1327"/>
      <c r="B165" s="1334" t="s">
        <v>1337</v>
      </c>
      <c r="C165" s="1329">
        <v>0</v>
      </c>
      <c r="D165" s="1329">
        <v>0</v>
      </c>
      <c r="E165" s="1329">
        <v>0</v>
      </c>
      <c r="F165" s="1329">
        <v>0</v>
      </c>
      <c r="G165" s="1329">
        <v>0</v>
      </c>
      <c r="H165" s="1329">
        <v>0</v>
      </c>
      <c r="I165" s="1329">
        <v>0</v>
      </c>
      <c r="J165" s="1329">
        <v>0</v>
      </c>
      <c r="K165" s="1329">
        <v>0</v>
      </c>
      <c r="L165" s="1329">
        <v>0</v>
      </c>
      <c r="M165" s="1329">
        <v>0</v>
      </c>
      <c r="N165" s="1329">
        <v>0</v>
      </c>
    </row>
    <row r="166" spans="1:14" ht="22.5" x14ac:dyDescent="0.25">
      <c r="A166" s="1330" t="s">
        <v>42</v>
      </c>
      <c r="B166" s="1321" t="s">
        <v>1338</v>
      </c>
      <c r="C166" s="1329">
        <v>0</v>
      </c>
      <c r="D166" s="1329">
        <v>0</v>
      </c>
      <c r="E166" s="1329">
        <v>0</v>
      </c>
      <c r="F166" s="1329">
        <v>0</v>
      </c>
      <c r="G166" s="1329">
        <v>0</v>
      </c>
      <c r="H166" s="1329">
        <v>0</v>
      </c>
      <c r="I166" s="1329">
        <v>0</v>
      </c>
      <c r="J166" s="1329">
        <v>0</v>
      </c>
      <c r="K166" s="1329">
        <v>0</v>
      </c>
      <c r="L166" s="1329">
        <v>0</v>
      </c>
      <c r="M166" s="1329">
        <v>0</v>
      </c>
      <c r="N166" s="1329">
        <v>0</v>
      </c>
    </row>
    <row r="167" spans="1:14" x14ac:dyDescent="0.25">
      <c r="A167" s="1330" t="s">
        <v>118</v>
      </c>
      <c r="B167" s="1321" t="s">
        <v>1266</v>
      </c>
      <c r="C167" s="1329">
        <v>0</v>
      </c>
      <c r="D167" s="1329">
        <v>0</v>
      </c>
      <c r="E167" s="1329">
        <v>0</v>
      </c>
      <c r="F167" s="1329">
        <v>0</v>
      </c>
      <c r="G167" s="1329">
        <v>0</v>
      </c>
      <c r="H167" s="1329">
        <v>0</v>
      </c>
      <c r="I167" s="1329">
        <v>0</v>
      </c>
      <c r="J167" s="1329">
        <v>0</v>
      </c>
      <c r="K167" s="1329">
        <v>0</v>
      </c>
      <c r="L167" s="1329">
        <v>0</v>
      </c>
      <c r="M167" s="1329">
        <v>0</v>
      </c>
      <c r="N167" s="1329">
        <v>0</v>
      </c>
    </row>
    <row r="168" spans="1:14" x14ac:dyDescent="0.25">
      <c r="A168" s="1330">
        <v>2</v>
      </c>
      <c r="B168" s="1321" t="s">
        <v>1339</v>
      </c>
      <c r="C168" s="1329">
        <v>0</v>
      </c>
      <c r="D168" s="1329">
        <v>0</v>
      </c>
      <c r="E168" s="1329">
        <v>0</v>
      </c>
      <c r="F168" s="1329">
        <v>0</v>
      </c>
      <c r="G168" s="1329">
        <v>0</v>
      </c>
      <c r="H168" s="1329">
        <v>0</v>
      </c>
      <c r="I168" s="1329">
        <v>0</v>
      </c>
      <c r="J168" s="1329">
        <v>0</v>
      </c>
      <c r="K168" s="1329">
        <v>0</v>
      </c>
      <c r="L168" s="1329">
        <v>0</v>
      </c>
      <c r="M168" s="1329">
        <v>0</v>
      </c>
      <c r="N168" s="1329">
        <v>0</v>
      </c>
    </row>
    <row r="169" spans="1:14" x14ac:dyDescent="0.25">
      <c r="A169" s="1330" t="s">
        <v>18</v>
      </c>
      <c r="B169" s="1321" t="s">
        <v>1340</v>
      </c>
      <c r="C169" s="1329">
        <v>0</v>
      </c>
      <c r="D169" s="1329">
        <v>0</v>
      </c>
      <c r="E169" s="1329">
        <v>0</v>
      </c>
      <c r="F169" s="1329">
        <v>0</v>
      </c>
      <c r="G169" s="1329">
        <v>0</v>
      </c>
      <c r="H169" s="1329">
        <v>0</v>
      </c>
      <c r="I169" s="1329">
        <v>0</v>
      </c>
      <c r="J169" s="1329">
        <v>0</v>
      </c>
      <c r="K169" s="1329">
        <v>0</v>
      </c>
      <c r="L169" s="1329">
        <v>0</v>
      </c>
      <c r="M169" s="1329">
        <v>0</v>
      </c>
      <c r="N169" s="1329">
        <v>0</v>
      </c>
    </row>
    <row r="170" spans="1:14" x14ac:dyDescent="0.25">
      <c r="A170" s="1330" t="s">
        <v>22</v>
      </c>
      <c r="B170" s="1321" t="s">
        <v>99</v>
      </c>
      <c r="C170" s="1328">
        <v>500799277</v>
      </c>
      <c r="D170" s="1329">
        <v>0</v>
      </c>
      <c r="E170" s="1328">
        <v>500799277</v>
      </c>
      <c r="F170" s="1329">
        <v>0</v>
      </c>
      <c r="G170" s="1329">
        <v>0</v>
      </c>
      <c r="H170" s="1328">
        <v>500799277</v>
      </c>
      <c r="I170" s="1328">
        <v>500799277</v>
      </c>
      <c r="J170" s="1329">
        <v>0</v>
      </c>
      <c r="K170" s="1328">
        <v>500799277</v>
      </c>
      <c r="L170" s="1329">
        <v>0</v>
      </c>
      <c r="M170" s="1329">
        <v>0</v>
      </c>
      <c r="N170" s="1328">
        <v>500799277</v>
      </c>
    </row>
    <row r="171" spans="1:14" x14ac:dyDescent="0.25">
      <c r="A171" s="1332"/>
      <c r="B171" s="520"/>
      <c r="C171" s="520"/>
      <c r="D171" s="520"/>
      <c r="E171" s="520"/>
      <c r="F171" s="520"/>
      <c r="G171" s="520"/>
      <c r="H171" s="520"/>
      <c r="I171" s="520"/>
      <c r="J171" s="520"/>
      <c r="K171" s="520"/>
      <c r="L171" s="520"/>
      <c r="M171" s="520"/>
      <c r="N171" s="520"/>
    </row>
    <row r="172" spans="1:14" ht="22.5" x14ac:dyDescent="0.25">
      <c r="A172" s="1330">
        <v>1</v>
      </c>
      <c r="B172" s="1321" t="s">
        <v>1341</v>
      </c>
      <c r="C172" s="1329">
        <v>0</v>
      </c>
      <c r="D172" s="1329">
        <v>0</v>
      </c>
      <c r="E172" s="1329">
        <v>0</v>
      </c>
      <c r="F172" s="1329">
        <v>0</v>
      </c>
      <c r="G172" s="1329">
        <v>0</v>
      </c>
      <c r="H172" s="1329">
        <v>0</v>
      </c>
      <c r="I172" s="1329">
        <v>0</v>
      </c>
      <c r="J172" s="1329">
        <v>0</v>
      </c>
      <c r="K172" s="1329">
        <v>0</v>
      </c>
      <c r="L172" s="1329">
        <v>0</v>
      </c>
      <c r="M172" s="1329">
        <v>0</v>
      </c>
      <c r="N172" s="1329">
        <v>0</v>
      </c>
    </row>
    <row r="173" spans="1:14" ht="22.5" x14ac:dyDescent="0.25">
      <c r="A173" s="1330">
        <v>2</v>
      </c>
      <c r="B173" s="1321" t="s">
        <v>1342</v>
      </c>
      <c r="C173" s="1328">
        <v>500799277</v>
      </c>
      <c r="D173" s="1329">
        <v>0</v>
      </c>
      <c r="E173" s="1328">
        <v>500799277</v>
      </c>
      <c r="F173" s="1329">
        <v>0</v>
      </c>
      <c r="G173" s="1329">
        <v>0</v>
      </c>
      <c r="H173" s="1328">
        <v>500799277</v>
      </c>
      <c r="I173" s="1328">
        <v>500799277</v>
      </c>
      <c r="J173" s="1329">
        <v>0</v>
      </c>
      <c r="K173" s="1328">
        <v>500799277</v>
      </c>
      <c r="L173" s="1329">
        <v>0</v>
      </c>
      <c r="M173" s="1329">
        <v>0</v>
      </c>
      <c r="N173" s="1328">
        <v>500799277</v>
      </c>
    </row>
    <row r="174" spans="1:14" ht="33.75" x14ac:dyDescent="0.25">
      <c r="A174" s="1330" t="s">
        <v>50</v>
      </c>
      <c r="B174" s="1321" t="s">
        <v>1343</v>
      </c>
      <c r="C174" s="1329">
        <v>0</v>
      </c>
      <c r="D174" s="1329">
        <v>0</v>
      </c>
      <c r="E174" s="1329">
        <v>0</v>
      </c>
      <c r="F174" s="1329">
        <v>0</v>
      </c>
      <c r="G174" s="1329">
        <v>0</v>
      </c>
      <c r="H174" s="1329">
        <v>0</v>
      </c>
      <c r="I174" s="1329">
        <v>0</v>
      </c>
      <c r="J174" s="1329">
        <v>0</v>
      </c>
      <c r="K174" s="1329">
        <v>0</v>
      </c>
      <c r="L174" s="1329">
        <v>0</v>
      </c>
      <c r="M174" s="1329">
        <v>0</v>
      </c>
      <c r="N174" s="1329">
        <v>0</v>
      </c>
    </row>
    <row r="175" spans="1:14" ht="22.5" x14ac:dyDescent="0.25">
      <c r="A175" s="1330">
        <v>1</v>
      </c>
      <c r="B175" s="1321" t="s">
        <v>1344</v>
      </c>
      <c r="C175" s="1329">
        <v>0</v>
      </c>
      <c r="D175" s="1329">
        <v>0</v>
      </c>
      <c r="E175" s="1329">
        <v>0</v>
      </c>
      <c r="F175" s="1329">
        <v>0</v>
      </c>
      <c r="G175" s="1329">
        <v>0</v>
      </c>
      <c r="H175" s="1329">
        <v>0</v>
      </c>
      <c r="I175" s="1329">
        <v>0</v>
      </c>
      <c r="J175" s="1329">
        <v>0</v>
      </c>
      <c r="K175" s="1329">
        <v>0</v>
      </c>
      <c r="L175" s="1329">
        <v>0</v>
      </c>
      <c r="M175" s="1329">
        <v>0</v>
      </c>
      <c r="N175" s="1329">
        <v>0</v>
      </c>
    </row>
    <row r="176" spans="1:14" x14ac:dyDescent="0.25">
      <c r="A176" s="1330" t="s">
        <v>7</v>
      </c>
      <c r="B176" s="1321" t="s">
        <v>1345</v>
      </c>
      <c r="C176" s="1329">
        <v>0</v>
      </c>
      <c r="D176" s="1329">
        <v>0</v>
      </c>
      <c r="E176" s="1329">
        <v>0</v>
      </c>
      <c r="F176" s="1329">
        <v>0</v>
      </c>
      <c r="G176" s="1329">
        <v>0</v>
      </c>
      <c r="H176" s="1329">
        <v>0</v>
      </c>
      <c r="I176" s="1329">
        <v>0</v>
      </c>
      <c r="J176" s="1329">
        <v>0</v>
      </c>
      <c r="K176" s="1329">
        <v>0</v>
      </c>
      <c r="L176" s="1329">
        <v>0</v>
      </c>
      <c r="M176" s="1329">
        <v>0</v>
      </c>
      <c r="N176" s="1329">
        <v>0</v>
      </c>
    </row>
    <row r="177" spans="1:14" x14ac:dyDescent="0.25">
      <c r="A177" s="1330" t="s">
        <v>38</v>
      </c>
      <c r="B177" s="1321" t="s">
        <v>1346</v>
      </c>
      <c r="C177" s="1329">
        <v>0</v>
      </c>
      <c r="D177" s="1329">
        <v>0</v>
      </c>
      <c r="E177" s="1329">
        <v>0</v>
      </c>
      <c r="F177" s="1329">
        <v>0</v>
      </c>
      <c r="G177" s="1329">
        <v>0</v>
      </c>
      <c r="H177" s="1329">
        <v>0</v>
      </c>
      <c r="I177" s="1329">
        <v>0</v>
      </c>
      <c r="J177" s="1329">
        <v>0</v>
      </c>
      <c r="K177" s="1329">
        <v>0</v>
      </c>
      <c r="L177" s="1329">
        <v>0</v>
      </c>
      <c r="M177" s="1329">
        <v>0</v>
      </c>
      <c r="N177" s="1329">
        <v>0</v>
      </c>
    </row>
    <row r="178" spans="1:14" x14ac:dyDescent="0.25">
      <c r="A178" s="1330">
        <v>2</v>
      </c>
      <c r="B178" s="1321" t="s">
        <v>1347</v>
      </c>
      <c r="C178" s="1329">
        <v>0</v>
      </c>
      <c r="D178" s="1329">
        <v>0</v>
      </c>
      <c r="E178" s="1329">
        <v>0</v>
      </c>
      <c r="F178" s="1329">
        <v>0</v>
      </c>
      <c r="G178" s="1329">
        <v>0</v>
      </c>
      <c r="H178" s="1329">
        <v>0</v>
      </c>
      <c r="I178" s="1329">
        <v>0</v>
      </c>
      <c r="J178" s="1329">
        <v>0</v>
      </c>
      <c r="K178" s="1329">
        <v>0</v>
      </c>
      <c r="L178" s="1329">
        <v>0</v>
      </c>
      <c r="M178" s="1329">
        <v>0</v>
      </c>
      <c r="N178" s="1329">
        <v>0</v>
      </c>
    </row>
    <row r="179" spans="1:14" x14ac:dyDescent="0.25">
      <c r="A179" s="1330" t="s">
        <v>1348</v>
      </c>
      <c r="B179" s="1321" t="s">
        <v>1349</v>
      </c>
      <c r="C179" s="1329">
        <v>0</v>
      </c>
      <c r="D179" s="1329">
        <v>0</v>
      </c>
      <c r="E179" s="1329">
        <v>0</v>
      </c>
      <c r="F179" s="1329">
        <v>0</v>
      </c>
      <c r="G179" s="1329">
        <v>0</v>
      </c>
      <c r="H179" s="1329">
        <v>0</v>
      </c>
      <c r="I179" s="1329">
        <v>0</v>
      </c>
      <c r="J179" s="1329">
        <v>0</v>
      </c>
      <c r="K179" s="1329">
        <v>0</v>
      </c>
      <c r="L179" s="1329">
        <v>0</v>
      </c>
      <c r="M179" s="1329">
        <v>0</v>
      </c>
      <c r="N179" s="1329">
        <v>0</v>
      </c>
    </row>
    <row r="180" spans="1:14" ht="22.5" x14ac:dyDescent="0.25">
      <c r="A180" s="1330" t="s">
        <v>1350</v>
      </c>
      <c r="B180" s="1321" t="s">
        <v>1351</v>
      </c>
      <c r="C180" s="1328">
        <v>12894540595</v>
      </c>
      <c r="D180" s="1329">
        <v>0</v>
      </c>
      <c r="E180" s="1328">
        <v>12894540595</v>
      </c>
      <c r="F180" s="1328">
        <v>12894540595</v>
      </c>
      <c r="G180" s="1329">
        <v>0</v>
      </c>
      <c r="H180" s="1329">
        <v>0</v>
      </c>
      <c r="I180" s="1328">
        <v>12894540595</v>
      </c>
      <c r="J180" s="1329">
        <v>0</v>
      </c>
      <c r="K180" s="1328">
        <v>12894540595</v>
      </c>
      <c r="L180" s="1328">
        <v>12894540595</v>
      </c>
      <c r="M180" s="1329">
        <v>0</v>
      </c>
      <c r="N180" s="1329">
        <v>0</v>
      </c>
    </row>
    <row r="181" spans="1:14" ht="22.5" x14ac:dyDescent="0.25">
      <c r="A181" s="1327"/>
      <c r="B181" s="1321" t="s">
        <v>1352</v>
      </c>
      <c r="C181" s="1329">
        <v>0</v>
      </c>
      <c r="D181" s="1329">
        <v>0</v>
      </c>
      <c r="E181" s="1329">
        <v>0</v>
      </c>
      <c r="F181" s="1329">
        <v>0</v>
      </c>
      <c r="G181" s="1329">
        <v>0</v>
      </c>
      <c r="H181" s="1329">
        <v>0</v>
      </c>
      <c r="I181" s="1329">
        <v>0</v>
      </c>
      <c r="J181" s="1329">
        <v>0</v>
      </c>
      <c r="K181" s="1329">
        <v>0</v>
      </c>
      <c r="L181" s="1329">
        <v>0</v>
      </c>
      <c r="M181" s="1329">
        <v>0</v>
      </c>
      <c r="N181" s="1329">
        <v>0</v>
      </c>
    </row>
    <row r="182" spans="1:14" ht="22.5" x14ac:dyDescent="0.25">
      <c r="A182" s="1330" t="s">
        <v>4</v>
      </c>
      <c r="B182" s="1321" t="s">
        <v>1353</v>
      </c>
      <c r="C182" s="1329">
        <v>0</v>
      </c>
      <c r="D182" s="1329">
        <v>0</v>
      </c>
      <c r="E182" s="1329">
        <v>0</v>
      </c>
      <c r="F182" s="1329">
        <v>0</v>
      </c>
      <c r="G182" s="1329">
        <v>0</v>
      </c>
      <c r="H182" s="1329">
        <v>0</v>
      </c>
      <c r="I182" s="1329">
        <v>0</v>
      </c>
      <c r="J182" s="1329">
        <v>0</v>
      </c>
      <c r="K182" s="1329">
        <v>0</v>
      </c>
      <c r="L182" s="1329">
        <v>0</v>
      </c>
      <c r="M182" s="1329">
        <v>0</v>
      </c>
      <c r="N182" s="1329">
        <v>0</v>
      </c>
    </row>
    <row r="183" spans="1:14" x14ac:dyDescent="0.25">
      <c r="A183" s="1330" t="s">
        <v>5</v>
      </c>
      <c r="B183" s="1321" t="s">
        <v>1354</v>
      </c>
      <c r="C183" s="1329">
        <v>0</v>
      </c>
      <c r="D183" s="1329">
        <v>0</v>
      </c>
      <c r="E183" s="1329">
        <v>0</v>
      </c>
      <c r="F183" s="1329">
        <v>0</v>
      </c>
      <c r="G183" s="1329">
        <v>0</v>
      </c>
      <c r="H183" s="1329">
        <v>0</v>
      </c>
      <c r="I183" s="1329">
        <v>0</v>
      </c>
      <c r="J183" s="1329">
        <v>0</v>
      </c>
      <c r="K183" s="1329">
        <v>0</v>
      </c>
      <c r="L183" s="1329">
        <v>0</v>
      </c>
      <c r="M183" s="1329">
        <v>0</v>
      </c>
      <c r="N183" s="1329">
        <v>0</v>
      </c>
    </row>
    <row r="184" spans="1:14" ht="22.5" x14ac:dyDescent="0.25">
      <c r="A184" s="1321"/>
      <c r="B184" s="1321" t="s">
        <v>1355</v>
      </c>
      <c r="C184" s="1329">
        <v>0</v>
      </c>
      <c r="D184" s="1329">
        <v>0</v>
      </c>
      <c r="E184" s="1329">
        <v>0</v>
      </c>
      <c r="F184" s="1329">
        <v>0</v>
      </c>
      <c r="G184" s="1329">
        <v>0</v>
      </c>
      <c r="H184" s="1329">
        <v>0</v>
      </c>
      <c r="I184" s="1329">
        <v>0</v>
      </c>
      <c r="J184" s="1329">
        <v>0</v>
      </c>
      <c r="K184" s="1329">
        <v>0</v>
      </c>
      <c r="L184" s="1329">
        <v>0</v>
      </c>
      <c r="M184" s="1329">
        <v>0</v>
      </c>
      <c r="N184" s="1329">
        <v>0</v>
      </c>
    </row>
    <row r="185" spans="1:14" x14ac:dyDescent="0.25">
      <c r="A185" s="1330" t="s">
        <v>11</v>
      </c>
      <c r="B185" s="1321" t="s">
        <v>1356</v>
      </c>
      <c r="C185" s="1329">
        <v>0</v>
      </c>
      <c r="D185" s="1329">
        <v>0</v>
      </c>
      <c r="E185" s="1329">
        <v>0</v>
      </c>
      <c r="F185" s="1329">
        <v>0</v>
      </c>
      <c r="G185" s="1329">
        <v>0</v>
      </c>
      <c r="H185" s="1329">
        <v>0</v>
      </c>
      <c r="I185" s="1329">
        <v>0</v>
      </c>
      <c r="J185" s="1329">
        <v>0</v>
      </c>
      <c r="K185" s="1329">
        <v>0</v>
      </c>
      <c r="L185" s="1329">
        <v>0</v>
      </c>
      <c r="M185" s="1329">
        <v>0</v>
      </c>
      <c r="N185" s="1329">
        <v>0</v>
      </c>
    </row>
    <row r="186" spans="1:14" x14ac:dyDescent="0.25">
      <c r="A186" s="1330" t="s">
        <v>17</v>
      </c>
      <c r="B186" s="1321" t="s">
        <v>1357</v>
      </c>
      <c r="C186" s="1329">
        <v>0</v>
      </c>
      <c r="D186" s="1329">
        <v>0</v>
      </c>
      <c r="E186" s="1329">
        <v>0</v>
      </c>
      <c r="F186" s="1329">
        <v>0</v>
      </c>
      <c r="G186" s="1329">
        <v>0</v>
      </c>
      <c r="H186" s="1329">
        <v>0</v>
      </c>
      <c r="I186" s="1329">
        <v>0</v>
      </c>
      <c r="J186" s="1329">
        <v>0</v>
      </c>
      <c r="K186" s="1329">
        <v>0</v>
      </c>
      <c r="L186" s="1329">
        <v>0</v>
      </c>
      <c r="M186" s="1329">
        <v>0</v>
      </c>
      <c r="N186" s="1329">
        <v>0</v>
      </c>
    </row>
    <row r="187" spans="1:14" ht="22.5" x14ac:dyDescent="0.25">
      <c r="A187" s="1330">
        <v>1</v>
      </c>
      <c r="B187" s="1321" t="s">
        <v>1358</v>
      </c>
      <c r="C187" s="1329">
        <v>0</v>
      </c>
      <c r="D187" s="1329">
        <v>0</v>
      </c>
      <c r="E187" s="1329">
        <v>0</v>
      </c>
      <c r="F187" s="1329">
        <v>0</v>
      </c>
      <c r="G187" s="1329">
        <v>0</v>
      </c>
      <c r="H187" s="1329">
        <v>0</v>
      </c>
      <c r="I187" s="1329">
        <v>0</v>
      </c>
      <c r="J187" s="1329">
        <v>0</v>
      </c>
      <c r="K187" s="1329">
        <v>0</v>
      </c>
      <c r="L187" s="1329">
        <v>0</v>
      </c>
      <c r="M187" s="1329">
        <v>0</v>
      </c>
      <c r="N187" s="1329">
        <v>0</v>
      </c>
    </row>
    <row r="188" spans="1:14" x14ac:dyDescent="0.25">
      <c r="A188" s="1330">
        <v>2</v>
      </c>
      <c r="B188" s="1321" t="s">
        <v>1359</v>
      </c>
      <c r="C188" s="1329">
        <v>0</v>
      </c>
      <c r="D188" s="1329">
        <v>0</v>
      </c>
      <c r="E188" s="1329">
        <v>0</v>
      </c>
      <c r="F188" s="1329">
        <v>0</v>
      </c>
      <c r="G188" s="1329">
        <v>0</v>
      </c>
      <c r="H188" s="1329">
        <v>0</v>
      </c>
      <c r="I188" s="1329">
        <v>0</v>
      </c>
      <c r="J188" s="1329">
        <v>0</v>
      </c>
      <c r="K188" s="1329">
        <v>0</v>
      </c>
      <c r="L188" s="1329">
        <v>0</v>
      </c>
      <c r="M188" s="1329">
        <v>0</v>
      </c>
      <c r="N188" s="1329">
        <v>0</v>
      </c>
    </row>
    <row r="189" spans="1:14" ht="22.5" x14ac:dyDescent="0.25">
      <c r="A189" s="1330" t="s">
        <v>45</v>
      </c>
      <c r="B189" s="1321" t="s">
        <v>100</v>
      </c>
      <c r="C189" s="1328">
        <v>371063829155</v>
      </c>
      <c r="D189" s="1329">
        <v>0</v>
      </c>
      <c r="E189" s="1328">
        <v>371063829155</v>
      </c>
      <c r="F189" s="1329">
        <v>0</v>
      </c>
      <c r="G189" s="1329">
        <v>0</v>
      </c>
      <c r="H189" s="1328">
        <v>371063829155</v>
      </c>
      <c r="I189" s="1328">
        <v>371063829155</v>
      </c>
      <c r="J189" s="1329">
        <v>0</v>
      </c>
      <c r="K189" s="1328">
        <v>371063829155</v>
      </c>
      <c r="L189" s="1329">
        <v>0</v>
      </c>
      <c r="M189" s="1329">
        <v>0</v>
      </c>
      <c r="N189" s="1328">
        <v>371063829155</v>
      </c>
    </row>
    <row r="190" spans="1:14" ht="22.5" x14ac:dyDescent="0.25">
      <c r="A190" s="1330" t="s">
        <v>5</v>
      </c>
      <c r="B190" s="1321" t="s">
        <v>58</v>
      </c>
      <c r="C190" s="1328">
        <v>371063829155</v>
      </c>
      <c r="D190" s="1329">
        <v>0</v>
      </c>
      <c r="E190" s="1328">
        <v>371063829155</v>
      </c>
      <c r="F190" s="1329">
        <v>0</v>
      </c>
      <c r="G190" s="1329">
        <v>0</v>
      </c>
      <c r="H190" s="1328">
        <v>371063829155</v>
      </c>
      <c r="I190" s="1328">
        <v>371063829155</v>
      </c>
      <c r="J190" s="1329">
        <v>0</v>
      </c>
      <c r="K190" s="1328">
        <v>371063829155</v>
      </c>
      <c r="L190" s="1329">
        <v>0</v>
      </c>
      <c r="M190" s="1329">
        <v>0</v>
      </c>
      <c r="N190" s="1328">
        <v>371063829155</v>
      </c>
    </row>
    <row r="191" spans="1:14" x14ac:dyDescent="0.25">
      <c r="A191" s="1330">
        <v>1</v>
      </c>
      <c r="B191" s="1321" t="s">
        <v>138</v>
      </c>
      <c r="C191" s="1328">
        <v>256253874592</v>
      </c>
      <c r="D191" s="1329">
        <v>0</v>
      </c>
      <c r="E191" s="1328">
        <v>256253874592</v>
      </c>
      <c r="F191" s="1329">
        <v>0</v>
      </c>
      <c r="G191" s="1329">
        <v>0</v>
      </c>
      <c r="H191" s="1328">
        <v>256253874592</v>
      </c>
      <c r="I191" s="1328">
        <v>256253874592</v>
      </c>
      <c r="J191" s="1329">
        <v>0</v>
      </c>
      <c r="K191" s="1328">
        <v>256253874592</v>
      </c>
      <c r="L191" s="1329">
        <v>0</v>
      </c>
      <c r="M191" s="1329">
        <v>0</v>
      </c>
      <c r="N191" s="1328">
        <v>256253874592</v>
      </c>
    </row>
    <row r="192" spans="1:14" x14ac:dyDescent="0.25">
      <c r="A192" s="1330">
        <v>2</v>
      </c>
      <c r="B192" s="1321" t="s">
        <v>104</v>
      </c>
      <c r="C192" s="1328">
        <v>114809954563</v>
      </c>
      <c r="D192" s="1329">
        <v>0</v>
      </c>
      <c r="E192" s="1328">
        <v>114809954563</v>
      </c>
      <c r="F192" s="1329">
        <v>0</v>
      </c>
      <c r="G192" s="1329">
        <v>0</v>
      </c>
      <c r="H192" s="1328">
        <v>114809954563</v>
      </c>
      <c r="I192" s="1328">
        <v>114809954563</v>
      </c>
      <c r="J192" s="1329">
        <v>0</v>
      </c>
      <c r="K192" s="1328">
        <v>114809954563</v>
      </c>
      <c r="L192" s="1329">
        <v>0</v>
      </c>
      <c r="M192" s="1329">
        <v>0</v>
      </c>
      <c r="N192" s="1328">
        <v>114809954563</v>
      </c>
    </row>
    <row r="193" spans="1:14" ht="22.5" x14ac:dyDescent="0.25">
      <c r="A193" s="1330" t="s">
        <v>43</v>
      </c>
      <c r="B193" s="1321" t="s">
        <v>1360</v>
      </c>
      <c r="C193" s="1328">
        <v>114809954563</v>
      </c>
      <c r="D193" s="1329">
        <v>0</v>
      </c>
      <c r="E193" s="1328">
        <v>114809954563</v>
      </c>
      <c r="F193" s="1329">
        <v>0</v>
      </c>
      <c r="G193" s="1329">
        <v>0</v>
      </c>
      <c r="H193" s="1328">
        <v>114809954563</v>
      </c>
      <c r="I193" s="1328">
        <v>114809954563</v>
      </c>
      <c r="J193" s="1329">
        <v>0</v>
      </c>
      <c r="K193" s="1328">
        <v>114809954563</v>
      </c>
      <c r="L193" s="1329">
        <v>0</v>
      </c>
      <c r="M193" s="1329">
        <v>0</v>
      </c>
      <c r="N193" s="1328">
        <v>114809954563</v>
      </c>
    </row>
    <row r="194" spans="1:14" ht="22.5" x14ac:dyDescent="0.25">
      <c r="A194" s="1330" t="s">
        <v>44</v>
      </c>
      <c r="B194" s="1321" t="s">
        <v>106</v>
      </c>
      <c r="C194" s="1329">
        <v>0</v>
      </c>
      <c r="D194" s="1329">
        <v>0</v>
      </c>
      <c r="E194" s="1329">
        <v>0</v>
      </c>
      <c r="F194" s="1329">
        <v>0</v>
      </c>
      <c r="G194" s="1329">
        <v>0</v>
      </c>
      <c r="H194" s="1329">
        <v>0</v>
      </c>
      <c r="I194" s="1329">
        <v>0</v>
      </c>
      <c r="J194" s="1329">
        <v>0</v>
      </c>
      <c r="K194" s="1329">
        <v>0</v>
      </c>
      <c r="L194" s="1329">
        <v>0</v>
      </c>
      <c r="M194" s="1329">
        <v>0</v>
      </c>
      <c r="N194" s="1329">
        <v>0</v>
      </c>
    </row>
    <row r="195" spans="1:14" ht="22.5" x14ac:dyDescent="0.25">
      <c r="A195" s="1330" t="s">
        <v>11</v>
      </c>
      <c r="B195" s="1321" t="s">
        <v>107</v>
      </c>
      <c r="C195" s="1329">
        <v>0</v>
      </c>
      <c r="D195" s="1329">
        <v>0</v>
      </c>
      <c r="E195" s="1329">
        <v>0</v>
      </c>
      <c r="F195" s="1329">
        <v>0</v>
      </c>
      <c r="G195" s="1329">
        <v>0</v>
      </c>
      <c r="H195" s="1329">
        <v>0</v>
      </c>
      <c r="I195" s="1329">
        <v>0</v>
      </c>
      <c r="J195" s="1329">
        <v>0</v>
      </c>
      <c r="K195" s="1329">
        <v>0</v>
      </c>
      <c r="L195" s="1329">
        <v>0</v>
      </c>
      <c r="M195" s="1329">
        <v>0</v>
      </c>
      <c r="N195" s="1329">
        <v>0</v>
      </c>
    </row>
    <row r="196" spans="1:14" x14ac:dyDescent="0.25">
      <c r="A196" s="1330" t="s">
        <v>17</v>
      </c>
      <c r="B196" s="1321" t="s">
        <v>1361</v>
      </c>
      <c r="C196" s="1329">
        <v>0</v>
      </c>
      <c r="D196" s="1329">
        <v>0</v>
      </c>
      <c r="E196" s="1329">
        <v>0</v>
      </c>
      <c r="F196" s="1329">
        <v>0</v>
      </c>
      <c r="G196" s="1329">
        <v>0</v>
      </c>
      <c r="H196" s="1329">
        <v>0</v>
      </c>
      <c r="I196" s="1329">
        <v>0</v>
      </c>
      <c r="J196" s="1329">
        <v>0</v>
      </c>
      <c r="K196" s="1329">
        <v>0</v>
      </c>
      <c r="L196" s="1329">
        <v>0</v>
      </c>
      <c r="M196" s="1329">
        <v>0</v>
      </c>
      <c r="N196" s="1329">
        <v>0</v>
      </c>
    </row>
    <row r="197" spans="1:14" ht="22.5" x14ac:dyDescent="0.25">
      <c r="A197" s="1330" t="s">
        <v>18</v>
      </c>
      <c r="B197" s="1321" t="s">
        <v>1362</v>
      </c>
      <c r="C197" s="1329">
        <v>0</v>
      </c>
      <c r="D197" s="1329">
        <v>0</v>
      </c>
      <c r="E197" s="1329">
        <v>0</v>
      </c>
      <c r="F197" s="1329">
        <v>0</v>
      </c>
      <c r="G197" s="1329">
        <v>0</v>
      </c>
      <c r="H197" s="1329">
        <v>0</v>
      </c>
      <c r="I197" s="1329">
        <v>0</v>
      </c>
      <c r="J197" s="1329">
        <v>0</v>
      </c>
      <c r="K197" s="1329">
        <v>0</v>
      </c>
      <c r="L197" s="1329">
        <v>0</v>
      </c>
      <c r="M197" s="1329">
        <v>0</v>
      </c>
      <c r="N197" s="1329">
        <v>0</v>
      </c>
    </row>
    <row r="198" spans="1:14" ht="22.5" x14ac:dyDescent="0.25">
      <c r="A198" s="1327"/>
      <c r="B198" s="1321" t="s">
        <v>1352</v>
      </c>
      <c r="C198" s="1329">
        <v>0</v>
      </c>
      <c r="D198" s="1329">
        <v>0</v>
      </c>
      <c r="E198" s="1329">
        <v>0</v>
      </c>
      <c r="F198" s="1329">
        <v>0</v>
      </c>
      <c r="G198" s="1329">
        <v>0</v>
      </c>
      <c r="H198" s="1329">
        <v>0</v>
      </c>
      <c r="I198" s="1329">
        <v>0</v>
      </c>
      <c r="J198" s="1329">
        <v>0</v>
      </c>
      <c r="K198" s="1329">
        <v>0</v>
      </c>
      <c r="L198" s="1329">
        <v>0</v>
      </c>
      <c r="M198" s="1329">
        <v>0</v>
      </c>
      <c r="N198" s="1329">
        <v>0</v>
      </c>
    </row>
    <row r="199" spans="1:14" x14ac:dyDescent="0.25">
      <c r="A199" s="1330" t="s">
        <v>67</v>
      </c>
      <c r="B199" s="1321" t="s">
        <v>108</v>
      </c>
      <c r="C199" s="1328">
        <v>5270579123</v>
      </c>
      <c r="D199" s="1329">
        <v>0</v>
      </c>
      <c r="E199" s="1328">
        <v>5270579123</v>
      </c>
      <c r="F199" s="1329">
        <v>0</v>
      </c>
      <c r="G199" s="1329">
        <v>0</v>
      </c>
      <c r="H199" s="1328">
        <v>5270579123</v>
      </c>
      <c r="I199" s="1328">
        <v>5270579123</v>
      </c>
      <c r="J199" s="1329">
        <v>0</v>
      </c>
      <c r="K199" s="1328">
        <v>5270579123</v>
      </c>
      <c r="L199" s="1329">
        <v>0</v>
      </c>
      <c r="M199" s="1329">
        <v>0</v>
      </c>
      <c r="N199" s="1328">
        <v>5270579123</v>
      </c>
    </row>
    <row r="200" spans="1:14" x14ac:dyDescent="0.25">
      <c r="A200" s="1330" t="s">
        <v>5</v>
      </c>
      <c r="B200" s="1321" t="s">
        <v>1363</v>
      </c>
      <c r="C200" s="1328">
        <v>5270579123</v>
      </c>
      <c r="D200" s="1329">
        <v>0</v>
      </c>
      <c r="E200" s="1328">
        <v>5270579123</v>
      </c>
      <c r="F200" s="1329">
        <v>0</v>
      </c>
      <c r="G200" s="1329">
        <v>0</v>
      </c>
      <c r="H200" s="1328">
        <v>5270579123</v>
      </c>
      <c r="I200" s="1328">
        <v>5270579123</v>
      </c>
      <c r="J200" s="1329">
        <v>0</v>
      </c>
      <c r="K200" s="1328">
        <v>5270579123</v>
      </c>
      <c r="L200" s="1329">
        <v>0</v>
      </c>
      <c r="M200" s="1329">
        <v>0</v>
      </c>
      <c r="N200" s="1328">
        <v>5270579123</v>
      </c>
    </row>
    <row r="201" spans="1:14" ht="22.5" x14ac:dyDescent="0.25">
      <c r="A201" s="1330" t="s">
        <v>11</v>
      </c>
      <c r="B201" s="1321" t="s">
        <v>1351</v>
      </c>
      <c r="C201" s="1329">
        <v>0</v>
      </c>
      <c r="D201" s="1329">
        <v>0</v>
      </c>
      <c r="E201" s="1329">
        <v>0</v>
      </c>
      <c r="F201" s="1329">
        <v>0</v>
      </c>
      <c r="G201" s="1329">
        <v>0</v>
      </c>
      <c r="H201" s="1329">
        <v>0</v>
      </c>
      <c r="I201" s="1329">
        <v>0</v>
      </c>
      <c r="J201" s="1329">
        <v>0</v>
      </c>
      <c r="K201" s="1329">
        <v>0</v>
      </c>
      <c r="L201" s="1329">
        <v>0</v>
      </c>
      <c r="M201" s="1329">
        <v>0</v>
      </c>
      <c r="N201" s="1329">
        <v>0</v>
      </c>
    </row>
    <row r="202" spans="1:14" ht="22.5" x14ac:dyDescent="0.25">
      <c r="A202" s="1327"/>
      <c r="B202" s="1321" t="s">
        <v>1352</v>
      </c>
      <c r="C202" s="1329">
        <v>0</v>
      </c>
      <c r="D202" s="1329">
        <v>0</v>
      </c>
      <c r="E202" s="1329">
        <v>0</v>
      </c>
      <c r="F202" s="1329">
        <v>0</v>
      </c>
      <c r="G202" s="1329">
        <v>0</v>
      </c>
      <c r="H202" s="1329">
        <v>0</v>
      </c>
      <c r="I202" s="1329">
        <v>0</v>
      </c>
      <c r="J202" s="1329">
        <v>0</v>
      </c>
      <c r="K202" s="1329">
        <v>0</v>
      </c>
      <c r="L202" s="1329">
        <v>0</v>
      </c>
      <c r="M202" s="1329">
        <v>0</v>
      </c>
      <c r="N202" s="1329">
        <v>0</v>
      </c>
    </row>
    <row r="203" spans="1:14" x14ac:dyDescent="0.25">
      <c r="A203" s="1330" t="s">
        <v>510</v>
      </c>
      <c r="B203" s="1321" t="s">
        <v>109</v>
      </c>
      <c r="C203" s="1328">
        <v>474795332</v>
      </c>
      <c r="D203" s="1329">
        <v>0</v>
      </c>
      <c r="E203" s="1328">
        <v>474795332</v>
      </c>
      <c r="F203" s="1329">
        <v>0</v>
      </c>
      <c r="G203" s="1329">
        <v>0</v>
      </c>
      <c r="H203" s="1328">
        <v>474795332</v>
      </c>
      <c r="I203" s="1328">
        <v>474795332</v>
      </c>
      <c r="J203" s="1329">
        <v>0</v>
      </c>
      <c r="K203" s="1328">
        <v>474795332</v>
      </c>
      <c r="L203" s="1329">
        <v>0</v>
      </c>
      <c r="M203" s="1329">
        <v>0</v>
      </c>
      <c r="N203" s="1328">
        <v>474795332</v>
      </c>
    </row>
    <row r="204" spans="1:14" x14ac:dyDescent="0.25">
      <c r="A204" s="1330" t="s">
        <v>5</v>
      </c>
      <c r="B204" s="1321" t="s">
        <v>1364</v>
      </c>
      <c r="C204" s="1328">
        <v>474795332</v>
      </c>
      <c r="D204" s="1329">
        <v>0</v>
      </c>
      <c r="E204" s="1328">
        <v>474795332</v>
      </c>
      <c r="F204" s="1329">
        <v>0</v>
      </c>
      <c r="G204" s="1329">
        <v>0</v>
      </c>
      <c r="H204" s="1328">
        <v>474795332</v>
      </c>
      <c r="I204" s="1328">
        <v>474795332</v>
      </c>
      <c r="J204" s="1329">
        <v>0</v>
      </c>
      <c r="K204" s="1328">
        <v>474795332</v>
      </c>
      <c r="L204" s="1329">
        <v>0</v>
      </c>
      <c r="M204" s="1329">
        <v>0</v>
      </c>
      <c r="N204" s="1328">
        <v>474795332</v>
      </c>
    </row>
    <row r="205" spans="1:14" ht="22.5" x14ac:dyDescent="0.25">
      <c r="A205" s="1330" t="s">
        <v>11</v>
      </c>
      <c r="B205" s="1321" t="s">
        <v>1351</v>
      </c>
      <c r="C205" s="1329">
        <v>0</v>
      </c>
      <c r="D205" s="1329">
        <v>0</v>
      </c>
      <c r="E205" s="1329">
        <v>0</v>
      </c>
      <c r="F205" s="1329">
        <v>0</v>
      </c>
      <c r="G205" s="1329">
        <v>0</v>
      </c>
      <c r="H205" s="1329">
        <v>0</v>
      </c>
      <c r="I205" s="1329">
        <v>0</v>
      </c>
      <c r="J205" s="1329">
        <v>0</v>
      </c>
      <c r="K205" s="1329">
        <v>0</v>
      </c>
      <c r="L205" s="1329">
        <v>0</v>
      </c>
      <c r="M205" s="1329">
        <v>0</v>
      </c>
      <c r="N205" s="1329">
        <v>0</v>
      </c>
    </row>
    <row r="206" spans="1:14" ht="22.5" x14ac:dyDescent="0.25">
      <c r="A206" s="1327"/>
      <c r="B206" s="1321" t="s">
        <v>1352</v>
      </c>
      <c r="C206" s="1329">
        <v>0</v>
      </c>
      <c r="D206" s="1329">
        <v>0</v>
      </c>
      <c r="E206" s="1329">
        <v>0</v>
      </c>
      <c r="F206" s="1329">
        <v>0</v>
      </c>
      <c r="G206" s="1329">
        <v>0</v>
      </c>
      <c r="H206" s="1329">
        <v>0</v>
      </c>
      <c r="I206" s="1329">
        <v>0</v>
      </c>
      <c r="J206" s="1329">
        <v>0</v>
      </c>
      <c r="K206" s="1329">
        <v>0</v>
      </c>
      <c r="L206" s="1329">
        <v>0</v>
      </c>
      <c r="M206" s="1329">
        <v>0</v>
      </c>
      <c r="N206" s="1329">
        <v>0</v>
      </c>
    </row>
    <row r="207" spans="1:14" x14ac:dyDescent="0.25">
      <c r="A207" s="1319"/>
    </row>
    <row r="208" spans="1:14" x14ac:dyDescent="0.25">
      <c r="A208" s="1320" t="s">
        <v>1365</v>
      </c>
    </row>
    <row r="209" spans="1:3" x14ac:dyDescent="0.25">
      <c r="A209" s="1320" t="s">
        <v>1366</v>
      </c>
      <c r="B209" s="1320" t="s">
        <v>1367</v>
      </c>
      <c r="C209" s="1320" t="s">
        <v>1368</v>
      </c>
    </row>
    <row r="210" spans="1:3" x14ac:dyDescent="0.25">
      <c r="A210" s="1319"/>
    </row>
    <row r="211" spans="1:3" x14ac:dyDescent="0.25">
      <c r="A211" s="1319"/>
    </row>
    <row r="212" spans="1:3" x14ac:dyDescent="0.25">
      <c r="A212" s="1319"/>
    </row>
    <row r="213" spans="1:3" x14ac:dyDescent="0.25">
      <c r="A213" s="1320">
        <v>0</v>
      </c>
      <c r="B213" s="1320">
        <v>0</v>
      </c>
      <c r="C213" s="1320">
        <v>0</v>
      </c>
    </row>
  </sheetData>
  <mergeCells count="132">
    <mergeCell ref="N133:N134"/>
    <mergeCell ref="A3:N3"/>
    <mergeCell ref="L1:N1"/>
    <mergeCell ref="A1:C1"/>
    <mergeCell ref="A4:N4"/>
    <mergeCell ref="L2:N2"/>
    <mergeCell ref="H133:H134"/>
    <mergeCell ref="I133:I134"/>
    <mergeCell ref="J133:J134"/>
    <mergeCell ref="K133:K134"/>
    <mergeCell ref="L133:L134"/>
    <mergeCell ref="M133:M134"/>
    <mergeCell ref="K113:K114"/>
    <mergeCell ref="L113:L114"/>
    <mergeCell ref="M113:M114"/>
    <mergeCell ref="N113:N114"/>
    <mergeCell ref="A133:A134"/>
    <mergeCell ref="C133:C134"/>
    <mergeCell ref="D133:D134"/>
    <mergeCell ref="E133:E134"/>
    <mergeCell ref="F133:F134"/>
    <mergeCell ref="G133:G134"/>
    <mergeCell ref="N107:N108"/>
    <mergeCell ref="A113:A114"/>
    <mergeCell ref="C113:C114"/>
    <mergeCell ref="D113:D114"/>
    <mergeCell ref="E113:E114"/>
    <mergeCell ref="F113:F114"/>
    <mergeCell ref="G113:G114"/>
    <mergeCell ref="H113:H114"/>
    <mergeCell ref="I113:I114"/>
    <mergeCell ref="J113:J114"/>
    <mergeCell ref="H107:H108"/>
    <mergeCell ref="I107:I108"/>
    <mergeCell ref="J107:J108"/>
    <mergeCell ref="N102:N103"/>
    <mergeCell ref="A107:A108"/>
    <mergeCell ref="C107:C108"/>
    <mergeCell ref="D107:D108"/>
    <mergeCell ref="E107:E108"/>
    <mergeCell ref="F107:F108"/>
    <mergeCell ref="G107:G108"/>
    <mergeCell ref="A102:A103"/>
    <mergeCell ref="C102:C103"/>
    <mergeCell ref="D102:D103"/>
    <mergeCell ref="E102:E103"/>
    <mergeCell ref="F102:F103"/>
    <mergeCell ref="G102:G103"/>
    <mergeCell ref="H102:H103"/>
    <mergeCell ref="I102:I103"/>
    <mergeCell ref="J102:J103"/>
    <mergeCell ref="E55:E56"/>
    <mergeCell ref="F55:F56"/>
    <mergeCell ref="G55:G56"/>
    <mergeCell ref="H55:H56"/>
    <mergeCell ref="K107:K108"/>
    <mergeCell ref="L107:L108"/>
    <mergeCell ref="M107:M108"/>
    <mergeCell ref="K102:K103"/>
    <mergeCell ref="L102:L103"/>
    <mergeCell ref="M102:M103"/>
    <mergeCell ref="I55:I56"/>
    <mergeCell ref="J55:J56"/>
    <mergeCell ref="K55:K56"/>
    <mergeCell ref="L55:L56"/>
    <mergeCell ref="M55:M56"/>
    <mergeCell ref="A98:A99"/>
    <mergeCell ref="C98:C99"/>
    <mergeCell ref="D98:D99"/>
    <mergeCell ref="E98:E99"/>
    <mergeCell ref="F98:F99"/>
    <mergeCell ref="G98:G99"/>
    <mergeCell ref="N98:N99"/>
    <mergeCell ref="H98:H99"/>
    <mergeCell ref="I98:I99"/>
    <mergeCell ref="J98:J99"/>
    <mergeCell ref="K98:K99"/>
    <mergeCell ref="L98:L99"/>
    <mergeCell ref="M98:M99"/>
    <mergeCell ref="A42:A43"/>
    <mergeCell ref="B42:B43"/>
    <mergeCell ref="D42:D43"/>
    <mergeCell ref="E42:E43"/>
    <mergeCell ref="F42:F43"/>
    <mergeCell ref="G42:G43"/>
    <mergeCell ref="N42:N43"/>
    <mergeCell ref="H42:H43"/>
    <mergeCell ref="I42:I43"/>
    <mergeCell ref="J42:J43"/>
    <mergeCell ref="K42:K43"/>
    <mergeCell ref="L42:L43"/>
    <mergeCell ref="M42:M43"/>
    <mergeCell ref="N55:N56"/>
    <mergeCell ref="A55:A56"/>
    <mergeCell ref="B55:B56"/>
    <mergeCell ref="D55:D56"/>
    <mergeCell ref="N18:N19"/>
    <mergeCell ref="A30:A31"/>
    <mergeCell ref="B30:B31"/>
    <mergeCell ref="D30:D31"/>
    <mergeCell ref="E30:E31"/>
    <mergeCell ref="F30:F31"/>
    <mergeCell ref="G30:G31"/>
    <mergeCell ref="H30:H31"/>
    <mergeCell ref="I30:I31"/>
    <mergeCell ref="J30:J31"/>
    <mergeCell ref="H18:H19"/>
    <mergeCell ref="I18:I19"/>
    <mergeCell ref="J18:J19"/>
    <mergeCell ref="K18:K19"/>
    <mergeCell ref="L18:L19"/>
    <mergeCell ref="M18:M19"/>
    <mergeCell ref="A18:A19"/>
    <mergeCell ref="B18:B19"/>
    <mergeCell ref="D18:D19"/>
    <mergeCell ref="E18:E19"/>
    <mergeCell ref="F18:F19"/>
    <mergeCell ref="G18:G19"/>
    <mergeCell ref="K30:K31"/>
    <mergeCell ref="L30:L31"/>
    <mergeCell ref="C6:H6"/>
    <mergeCell ref="I6:N6"/>
    <mergeCell ref="C7:C8"/>
    <mergeCell ref="D7:D8"/>
    <mergeCell ref="E7:E8"/>
    <mergeCell ref="F7:H7"/>
    <mergeCell ref="I7:I8"/>
    <mergeCell ref="J7:J8"/>
    <mergeCell ref="K7:K8"/>
    <mergeCell ref="L7:N7"/>
    <mergeCell ref="M30:M31"/>
    <mergeCell ref="N30:N31"/>
  </mergeCells>
  <pageMargins left="0.45" right="0.45" top="0.75" bottom="0.5" header="0.3" footer="0.3"/>
  <pageSetup paperSize="9" scale="68" orientation="landscape"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F8768-FA23-40BD-82DD-78C343E1DDDE}">
  <dimension ref="A1:D15"/>
  <sheetViews>
    <sheetView workbookViewId="0">
      <selection activeCell="K9" sqref="K9:K11"/>
    </sheetView>
  </sheetViews>
  <sheetFormatPr defaultRowHeight="16.5" x14ac:dyDescent="0.25"/>
  <cols>
    <col min="1" max="1" width="7.7109375" style="1245" customWidth="1"/>
    <col min="2" max="2" width="55.85546875" style="1245" customWidth="1"/>
    <col min="3" max="3" width="43.7109375" style="1245" customWidth="1"/>
    <col min="4" max="256" width="9.140625" style="1245"/>
    <col min="257" max="257" width="7.7109375" style="1245" customWidth="1"/>
    <col min="258" max="258" width="55.85546875" style="1245" customWidth="1"/>
    <col min="259" max="259" width="43.7109375" style="1245" customWidth="1"/>
    <col min="260" max="512" width="9.140625" style="1245"/>
    <col min="513" max="513" width="7.7109375" style="1245" customWidth="1"/>
    <col min="514" max="514" width="55.85546875" style="1245" customWidth="1"/>
    <col min="515" max="515" width="43.7109375" style="1245" customWidth="1"/>
    <col min="516" max="768" width="9.140625" style="1245"/>
    <col min="769" max="769" width="7.7109375" style="1245" customWidth="1"/>
    <col min="770" max="770" width="55.85546875" style="1245" customWidth="1"/>
    <col min="771" max="771" width="43.7109375" style="1245" customWidth="1"/>
    <col min="772" max="1024" width="9.140625" style="1245"/>
    <col min="1025" max="1025" width="7.7109375" style="1245" customWidth="1"/>
    <col min="1026" max="1026" width="55.85546875" style="1245" customWidth="1"/>
    <col min="1027" max="1027" width="43.7109375" style="1245" customWidth="1"/>
    <col min="1028" max="1280" width="9.140625" style="1245"/>
    <col min="1281" max="1281" width="7.7109375" style="1245" customWidth="1"/>
    <col min="1282" max="1282" width="55.85546875" style="1245" customWidth="1"/>
    <col min="1283" max="1283" width="43.7109375" style="1245" customWidth="1"/>
    <col min="1284" max="1536" width="9.140625" style="1245"/>
    <col min="1537" max="1537" width="7.7109375" style="1245" customWidth="1"/>
    <col min="1538" max="1538" width="55.85546875" style="1245" customWidth="1"/>
    <col min="1539" max="1539" width="43.7109375" style="1245" customWidth="1"/>
    <col min="1540" max="1792" width="9.140625" style="1245"/>
    <col min="1793" max="1793" width="7.7109375" style="1245" customWidth="1"/>
    <col min="1794" max="1794" width="55.85546875" style="1245" customWidth="1"/>
    <col min="1795" max="1795" width="43.7109375" style="1245" customWidth="1"/>
    <col min="1796" max="2048" width="9.140625" style="1245"/>
    <col min="2049" max="2049" width="7.7109375" style="1245" customWidth="1"/>
    <col min="2050" max="2050" width="55.85546875" style="1245" customWidth="1"/>
    <col min="2051" max="2051" width="43.7109375" style="1245" customWidth="1"/>
    <col min="2052" max="2304" width="9.140625" style="1245"/>
    <col min="2305" max="2305" width="7.7109375" style="1245" customWidth="1"/>
    <col min="2306" max="2306" width="55.85546875" style="1245" customWidth="1"/>
    <col min="2307" max="2307" width="43.7109375" style="1245" customWidth="1"/>
    <col min="2308" max="2560" width="9.140625" style="1245"/>
    <col min="2561" max="2561" width="7.7109375" style="1245" customWidth="1"/>
    <col min="2562" max="2562" width="55.85546875" style="1245" customWidth="1"/>
    <col min="2563" max="2563" width="43.7109375" style="1245" customWidth="1"/>
    <col min="2564" max="2816" width="9.140625" style="1245"/>
    <col min="2817" max="2817" width="7.7109375" style="1245" customWidth="1"/>
    <col min="2818" max="2818" width="55.85546875" style="1245" customWidth="1"/>
    <col min="2819" max="2819" width="43.7109375" style="1245" customWidth="1"/>
    <col min="2820" max="3072" width="9.140625" style="1245"/>
    <col min="3073" max="3073" width="7.7109375" style="1245" customWidth="1"/>
    <col min="3074" max="3074" width="55.85546875" style="1245" customWidth="1"/>
    <col min="3075" max="3075" width="43.7109375" style="1245" customWidth="1"/>
    <col min="3076" max="3328" width="9.140625" style="1245"/>
    <col min="3329" max="3329" width="7.7109375" style="1245" customWidth="1"/>
    <col min="3330" max="3330" width="55.85546875" style="1245" customWidth="1"/>
    <col min="3331" max="3331" width="43.7109375" style="1245" customWidth="1"/>
    <col min="3332" max="3584" width="9.140625" style="1245"/>
    <col min="3585" max="3585" width="7.7109375" style="1245" customWidth="1"/>
    <col min="3586" max="3586" width="55.85546875" style="1245" customWidth="1"/>
    <col min="3587" max="3587" width="43.7109375" style="1245" customWidth="1"/>
    <col min="3588" max="3840" width="9.140625" style="1245"/>
    <col min="3841" max="3841" width="7.7109375" style="1245" customWidth="1"/>
    <col min="3842" max="3842" width="55.85546875" style="1245" customWidth="1"/>
    <col min="3843" max="3843" width="43.7109375" style="1245" customWidth="1"/>
    <col min="3844" max="4096" width="9.140625" style="1245"/>
    <col min="4097" max="4097" width="7.7109375" style="1245" customWidth="1"/>
    <col min="4098" max="4098" width="55.85546875" style="1245" customWidth="1"/>
    <col min="4099" max="4099" width="43.7109375" style="1245" customWidth="1"/>
    <col min="4100" max="4352" width="9.140625" style="1245"/>
    <col min="4353" max="4353" width="7.7109375" style="1245" customWidth="1"/>
    <col min="4354" max="4354" width="55.85546875" style="1245" customWidth="1"/>
    <col min="4355" max="4355" width="43.7109375" style="1245" customWidth="1"/>
    <col min="4356" max="4608" width="9.140625" style="1245"/>
    <col min="4609" max="4609" width="7.7109375" style="1245" customWidth="1"/>
    <col min="4610" max="4610" width="55.85546875" style="1245" customWidth="1"/>
    <col min="4611" max="4611" width="43.7109375" style="1245" customWidth="1"/>
    <col min="4612" max="4864" width="9.140625" style="1245"/>
    <col min="4865" max="4865" width="7.7109375" style="1245" customWidth="1"/>
    <col min="4866" max="4866" width="55.85546875" style="1245" customWidth="1"/>
    <col min="4867" max="4867" width="43.7109375" style="1245" customWidth="1"/>
    <col min="4868" max="5120" width="9.140625" style="1245"/>
    <col min="5121" max="5121" width="7.7109375" style="1245" customWidth="1"/>
    <col min="5122" max="5122" width="55.85546875" style="1245" customWidth="1"/>
    <col min="5123" max="5123" width="43.7109375" style="1245" customWidth="1"/>
    <col min="5124" max="5376" width="9.140625" style="1245"/>
    <col min="5377" max="5377" width="7.7109375" style="1245" customWidth="1"/>
    <col min="5378" max="5378" width="55.85546875" style="1245" customWidth="1"/>
    <col min="5379" max="5379" width="43.7109375" style="1245" customWidth="1"/>
    <col min="5380" max="5632" width="9.140625" style="1245"/>
    <col min="5633" max="5633" width="7.7109375" style="1245" customWidth="1"/>
    <col min="5634" max="5634" width="55.85546875" style="1245" customWidth="1"/>
    <col min="5635" max="5635" width="43.7109375" style="1245" customWidth="1"/>
    <col min="5636" max="5888" width="9.140625" style="1245"/>
    <col min="5889" max="5889" width="7.7109375" style="1245" customWidth="1"/>
    <col min="5890" max="5890" width="55.85546875" style="1245" customWidth="1"/>
    <col min="5891" max="5891" width="43.7109375" style="1245" customWidth="1"/>
    <col min="5892" max="6144" width="9.140625" style="1245"/>
    <col min="6145" max="6145" width="7.7109375" style="1245" customWidth="1"/>
    <col min="6146" max="6146" width="55.85546875" style="1245" customWidth="1"/>
    <col min="6147" max="6147" width="43.7109375" style="1245" customWidth="1"/>
    <col min="6148" max="6400" width="9.140625" style="1245"/>
    <col min="6401" max="6401" width="7.7109375" style="1245" customWidth="1"/>
    <col min="6402" max="6402" width="55.85546875" style="1245" customWidth="1"/>
    <col min="6403" max="6403" width="43.7109375" style="1245" customWidth="1"/>
    <col min="6404" max="6656" width="9.140625" style="1245"/>
    <col min="6657" max="6657" width="7.7109375" style="1245" customWidth="1"/>
    <col min="6658" max="6658" width="55.85546875" style="1245" customWidth="1"/>
    <col min="6659" max="6659" width="43.7109375" style="1245" customWidth="1"/>
    <col min="6660" max="6912" width="9.140625" style="1245"/>
    <col min="6913" max="6913" width="7.7109375" style="1245" customWidth="1"/>
    <col min="6914" max="6914" width="55.85546875" style="1245" customWidth="1"/>
    <col min="6915" max="6915" width="43.7109375" style="1245" customWidth="1"/>
    <col min="6916" max="7168" width="9.140625" style="1245"/>
    <col min="7169" max="7169" width="7.7109375" style="1245" customWidth="1"/>
    <col min="7170" max="7170" width="55.85546875" style="1245" customWidth="1"/>
    <col min="7171" max="7171" width="43.7109375" style="1245" customWidth="1"/>
    <col min="7172" max="7424" width="9.140625" style="1245"/>
    <col min="7425" max="7425" width="7.7109375" style="1245" customWidth="1"/>
    <col min="7426" max="7426" width="55.85546875" style="1245" customWidth="1"/>
    <col min="7427" max="7427" width="43.7109375" style="1245" customWidth="1"/>
    <col min="7428" max="7680" width="9.140625" style="1245"/>
    <col min="7681" max="7681" width="7.7109375" style="1245" customWidth="1"/>
    <col min="7682" max="7682" width="55.85546875" style="1245" customWidth="1"/>
    <col min="7683" max="7683" width="43.7109375" style="1245" customWidth="1"/>
    <col min="7684" max="7936" width="9.140625" style="1245"/>
    <col min="7937" max="7937" width="7.7109375" style="1245" customWidth="1"/>
    <col min="7938" max="7938" width="55.85546875" style="1245" customWidth="1"/>
    <col min="7939" max="7939" width="43.7109375" style="1245" customWidth="1"/>
    <col min="7940" max="8192" width="9.140625" style="1245"/>
    <col min="8193" max="8193" width="7.7109375" style="1245" customWidth="1"/>
    <col min="8194" max="8194" width="55.85546875" style="1245" customWidth="1"/>
    <col min="8195" max="8195" width="43.7109375" style="1245" customWidth="1"/>
    <col min="8196" max="8448" width="9.140625" style="1245"/>
    <col min="8449" max="8449" width="7.7109375" style="1245" customWidth="1"/>
    <col min="8450" max="8450" width="55.85546875" style="1245" customWidth="1"/>
    <col min="8451" max="8451" width="43.7109375" style="1245" customWidth="1"/>
    <col min="8452" max="8704" width="9.140625" style="1245"/>
    <col min="8705" max="8705" width="7.7109375" style="1245" customWidth="1"/>
    <col min="8706" max="8706" width="55.85546875" style="1245" customWidth="1"/>
    <col min="8707" max="8707" width="43.7109375" style="1245" customWidth="1"/>
    <col min="8708" max="8960" width="9.140625" style="1245"/>
    <col min="8961" max="8961" width="7.7109375" style="1245" customWidth="1"/>
    <col min="8962" max="8962" width="55.85546875" style="1245" customWidth="1"/>
    <col min="8963" max="8963" width="43.7109375" style="1245" customWidth="1"/>
    <col min="8964" max="9216" width="9.140625" style="1245"/>
    <col min="9217" max="9217" width="7.7109375" style="1245" customWidth="1"/>
    <col min="9218" max="9218" width="55.85546875" style="1245" customWidth="1"/>
    <col min="9219" max="9219" width="43.7109375" style="1245" customWidth="1"/>
    <col min="9220" max="9472" width="9.140625" style="1245"/>
    <col min="9473" max="9473" width="7.7109375" style="1245" customWidth="1"/>
    <col min="9474" max="9474" width="55.85546875" style="1245" customWidth="1"/>
    <col min="9475" max="9475" width="43.7109375" style="1245" customWidth="1"/>
    <col min="9476" max="9728" width="9.140625" style="1245"/>
    <col min="9729" max="9729" width="7.7109375" style="1245" customWidth="1"/>
    <col min="9730" max="9730" width="55.85546875" style="1245" customWidth="1"/>
    <col min="9731" max="9731" width="43.7109375" style="1245" customWidth="1"/>
    <col min="9732" max="9984" width="9.140625" style="1245"/>
    <col min="9985" max="9985" width="7.7109375" style="1245" customWidth="1"/>
    <col min="9986" max="9986" width="55.85546875" style="1245" customWidth="1"/>
    <col min="9987" max="9987" width="43.7109375" style="1245" customWidth="1"/>
    <col min="9988" max="10240" width="9.140625" style="1245"/>
    <col min="10241" max="10241" width="7.7109375" style="1245" customWidth="1"/>
    <col min="10242" max="10242" width="55.85546875" style="1245" customWidth="1"/>
    <col min="10243" max="10243" width="43.7109375" style="1245" customWidth="1"/>
    <col min="10244" max="10496" width="9.140625" style="1245"/>
    <col min="10497" max="10497" width="7.7109375" style="1245" customWidth="1"/>
    <col min="10498" max="10498" width="55.85546875" style="1245" customWidth="1"/>
    <col min="10499" max="10499" width="43.7109375" style="1245" customWidth="1"/>
    <col min="10500" max="10752" width="9.140625" style="1245"/>
    <col min="10753" max="10753" width="7.7109375" style="1245" customWidth="1"/>
    <col min="10754" max="10754" width="55.85546875" style="1245" customWidth="1"/>
    <col min="10755" max="10755" width="43.7109375" style="1245" customWidth="1"/>
    <col min="10756" max="11008" width="9.140625" style="1245"/>
    <col min="11009" max="11009" width="7.7109375" style="1245" customWidth="1"/>
    <col min="11010" max="11010" width="55.85546875" style="1245" customWidth="1"/>
    <col min="11011" max="11011" width="43.7109375" style="1245" customWidth="1"/>
    <col min="11012" max="11264" width="9.140625" style="1245"/>
    <col min="11265" max="11265" width="7.7109375" style="1245" customWidth="1"/>
    <col min="11266" max="11266" width="55.85546875" style="1245" customWidth="1"/>
    <col min="11267" max="11267" width="43.7109375" style="1245" customWidth="1"/>
    <col min="11268" max="11520" width="9.140625" style="1245"/>
    <col min="11521" max="11521" width="7.7109375" style="1245" customWidth="1"/>
    <col min="11522" max="11522" width="55.85546875" style="1245" customWidth="1"/>
    <col min="11523" max="11523" width="43.7109375" style="1245" customWidth="1"/>
    <col min="11524" max="11776" width="9.140625" style="1245"/>
    <col min="11777" max="11777" width="7.7109375" style="1245" customWidth="1"/>
    <col min="11778" max="11778" width="55.85546875" style="1245" customWidth="1"/>
    <col min="11779" max="11779" width="43.7109375" style="1245" customWidth="1"/>
    <col min="11780" max="12032" width="9.140625" style="1245"/>
    <col min="12033" max="12033" width="7.7109375" style="1245" customWidth="1"/>
    <col min="12034" max="12034" width="55.85546875" style="1245" customWidth="1"/>
    <col min="12035" max="12035" width="43.7109375" style="1245" customWidth="1"/>
    <col min="12036" max="12288" width="9.140625" style="1245"/>
    <col min="12289" max="12289" width="7.7109375" style="1245" customWidth="1"/>
    <col min="12290" max="12290" width="55.85546875" style="1245" customWidth="1"/>
    <col min="12291" max="12291" width="43.7109375" style="1245" customWidth="1"/>
    <col min="12292" max="12544" width="9.140625" style="1245"/>
    <col min="12545" max="12545" width="7.7109375" style="1245" customWidth="1"/>
    <col min="12546" max="12546" width="55.85546875" style="1245" customWidth="1"/>
    <col min="12547" max="12547" width="43.7109375" style="1245" customWidth="1"/>
    <col min="12548" max="12800" width="9.140625" style="1245"/>
    <col min="12801" max="12801" width="7.7109375" style="1245" customWidth="1"/>
    <col min="12802" max="12802" width="55.85546875" style="1245" customWidth="1"/>
    <col min="12803" max="12803" width="43.7109375" style="1245" customWidth="1"/>
    <col min="12804" max="13056" width="9.140625" style="1245"/>
    <col min="13057" max="13057" width="7.7109375" style="1245" customWidth="1"/>
    <col min="13058" max="13058" width="55.85546875" style="1245" customWidth="1"/>
    <col min="13059" max="13059" width="43.7109375" style="1245" customWidth="1"/>
    <col min="13060" max="13312" width="9.140625" style="1245"/>
    <col min="13313" max="13313" width="7.7109375" style="1245" customWidth="1"/>
    <col min="13314" max="13314" width="55.85546875" style="1245" customWidth="1"/>
    <col min="13315" max="13315" width="43.7109375" style="1245" customWidth="1"/>
    <col min="13316" max="13568" width="9.140625" style="1245"/>
    <col min="13569" max="13569" width="7.7109375" style="1245" customWidth="1"/>
    <col min="13570" max="13570" width="55.85546875" style="1245" customWidth="1"/>
    <col min="13571" max="13571" width="43.7109375" style="1245" customWidth="1"/>
    <col min="13572" max="13824" width="9.140625" style="1245"/>
    <col min="13825" max="13825" width="7.7109375" style="1245" customWidth="1"/>
    <col min="13826" max="13826" width="55.85546875" style="1245" customWidth="1"/>
    <col min="13827" max="13827" width="43.7109375" style="1245" customWidth="1"/>
    <col min="13828" max="14080" width="9.140625" style="1245"/>
    <col min="14081" max="14081" width="7.7109375" style="1245" customWidth="1"/>
    <col min="14082" max="14082" width="55.85546875" style="1245" customWidth="1"/>
    <col min="14083" max="14083" width="43.7109375" style="1245" customWidth="1"/>
    <col min="14084" max="14336" width="9.140625" style="1245"/>
    <col min="14337" max="14337" width="7.7109375" style="1245" customWidth="1"/>
    <col min="14338" max="14338" width="55.85546875" style="1245" customWidth="1"/>
    <col min="14339" max="14339" width="43.7109375" style="1245" customWidth="1"/>
    <col min="14340" max="14592" width="9.140625" style="1245"/>
    <col min="14593" max="14593" width="7.7109375" style="1245" customWidth="1"/>
    <col min="14594" max="14594" width="55.85546875" style="1245" customWidth="1"/>
    <col min="14595" max="14595" width="43.7109375" style="1245" customWidth="1"/>
    <col min="14596" max="14848" width="9.140625" style="1245"/>
    <col min="14849" max="14849" width="7.7109375" style="1245" customWidth="1"/>
    <col min="14850" max="14850" width="55.85546875" style="1245" customWidth="1"/>
    <col min="14851" max="14851" width="43.7109375" style="1245" customWidth="1"/>
    <col min="14852" max="15104" width="9.140625" style="1245"/>
    <col min="15105" max="15105" width="7.7109375" style="1245" customWidth="1"/>
    <col min="15106" max="15106" width="55.85546875" style="1245" customWidth="1"/>
    <col min="15107" max="15107" width="43.7109375" style="1245" customWidth="1"/>
    <col min="15108" max="15360" width="9.140625" style="1245"/>
    <col min="15361" max="15361" width="7.7109375" style="1245" customWidth="1"/>
    <col min="15362" max="15362" width="55.85546875" style="1245" customWidth="1"/>
    <col min="15363" max="15363" width="43.7109375" style="1245" customWidth="1"/>
    <col min="15364" max="15616" width="9.140625" style="1245"/>
    <col min="15617" max="15617" width="7.7109375" style="1245" customWidth="1"/>
    <col min="15618" max="15618" width="55.85546875" style="1245" customWidth="1"/>
    <col min="15619" max="15619" width="43.7109375" style="1245" customWidth="1"/>
    <col min="15620" max="15872" width="9.140625" style="1245"/>
    <col min="15873" max="15873" width="7.7109375" style="1245" customWidth="1"/>
    <col min="15874" max="15874" width="55.85546875" style="1245" customWidth="1"/>
    <col min="15875" max="15875" width="43.7109375" style="1245" customWidth="1"/>
    <col min="15876" max="16128" width="9.140625" style="1245"/>
    <col min="16129" max="16129" width="7.7109375" style="1245" customWidth="1"/>
    <col min="16130" max="16130" width="55.85546875" style="1245" customWidth="1"/>
    <col min="16131" max="16131" width="43.7109375" style="1245" customWidth="1"/>
    <col min="16132" max="16384" width="9.140625" style="1245"/>
  </cols>
  <sheetData>
    <row r="1" spans="1:4" s="1235" customFormat="1" x14ac:dyDescent="0.25">
      <c r="C1" s="1236" t="s">
        <v>1085</v>
      </c>
    </row>
    <row r="2" spans="1:4" s="1235" customFormat="1" ht="22.5" customHeight="1" x14ac:dyDescent="0.25">
      <c r="A2" s="3101" t="s">
        <v>2086</v>
      </c>
      <c r="B2" s="3101"/>
      <c r="C2" s="3101"/>
      <c r="D2" s="1235" t="s">
        <v>2090</v>
      </c>
    </row>
    <row r="3" spans="1:4" s="1235" customFormat="1" ht="22.5" customHeight="1" x14ac:dyDescent="0.25">
      <c r="A3" s="3224" t="str">
        <f>'MS 02'!A3:J3</f>
        <v>(Kèm theo Quyết định số          /QĐ-UBND ngày          /4/2026 của UBND phường Bắc Kạn)</v>
      </c>
      <c r="B3" s="3224"/>
      <c r="C3" s="3224"/>
    </row>
    <row r="4" spans="1:4" s="1235" customFormat="1" ht="22.5" customHeight="1" x14ac:dyDescent="0.25">
      <c r="B4" s="3340" t="s">
        <v>982</v>
      </c>
      <c r="C4" s="3340"/>
    </row>
    <row r="5" spans="1:4" s="1235" customFormat="1" x14ac:dyDescent="0.25">
      <c r="A5" s="3341" t="s">
        <v>0</v>
      </c>
      <c r="B5" s="3341" t="s">
        <v>1</v>
      </c>
      <c r="C5" s="3341" t="s">
        <v>1086</v>
      </c>
    </row>
    <row r="6" spans="1:4" s="1235" customFormat="1" x14ac:dyDescent="0.25">
      <c r="A6" s="3342"/>
      <c r="B6" s="3342"/>
      <c r="C6" s="3342"/>
    </row>
    <row r="7" spans="1:4" s="1238" customFormat="1" x14ac:dyDescent="0.25">
      <c r="A7" s="1237" t="s">
        <v>3</v>
      </c>
      <c r="B7" s="1237" t="s">
        <v>4</v>
      </c>
      <c r="C7" s="1237" t="s">
        <v>1087</v>
      </c>
    </row>
    <row r="8" spans="1:4" s="1241" customFormat="1" x14ac:dyDescent="0.25">
      <c r="A8" s="1239"/>
      <c r="B8" s="1240" t="s">
        <v>1073</v>
      </c>
      <c r="C8" s="1240"/>
    </row>
    <row r="9" spans="1:4" s="1241" customFormat="1" x14ac:dyDescent="0.25">
      <c r="A9" s="1239"/>
      <c r="B9" s="1240" t="s">
        <v>1088</v>
      </c>
      <c r="C9" s="1240"/>
    </row>
    <row r="10" spans="1:4" s="1235" customFormat="1" x14ac:dyDescent="0.25">
      <c r="A10" s="1242"/>
      <c r="B10" s="1243" t="s">
        <v>1089</v>
      </c>
      <c r="C10" s="1243"/>
    </row>
    <row r="11" spans="1:4" s="1235" customFormat="1" x14ac:dyDescent="0.25">
      <c r="A11" s="1244"/>
      <c r="B11" s="1244" t="s">
        <v>1089</v>
      </c>
      <c r="C11" s="1244"/>
    </row>
    <row r="13" spans="1:4" x14ac:dyDescent="0.25">
      <c r="B13" s="3343" t="s">
        <v>2088</v>
      </c>
      <c r="C13" s="3343"/>
      <c r="D13" s="1246"/>
    </row>
    <row r="14" spans="1:4" x14ac:dyDescent="0.25">
      <c r="B14" s="3339" t="s">
        <v>1075</v>
      </c>
      <c r="C14" s="3339"/>
      <c r="D14" s="1247"/>
    </row>
    <row r="15" spans="1:4" x14ac:dyDescent="0.25">
      <c r="B15" s="3122" t="s">
        <v>12</v>
      </c>
      <c r="C15" s="3122"/>
    </row>
  </sheetData>
  <mergeCells count="9">
    <mergeCell ref="B14:C14"/>
    <mergeCell ref="B15:C15"/>
    <mergeCell ref="A2:C2"/>
    <mergeCell ref="B4:C4"/>
    <mergeCell ref="A5:A6"/>
    <mergeCell ref="B5:B6"/>
    <mergeCell ref="C5:C6"/>
    <mergeCell ref="B13:C13"/>
    <mergeCell ref="A3:C3"/>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84360-D3D9-4F78-A5DD-9AF6DBAF88C1}">
  <sheetPr>
    <tabColor theme="3" tint="0.39997558519241921"/>
  </sheetPr>
  <dimension ref="A1:M71"/>
  <sheetViews>
    <sheetView view="pageBreakPreview" zoomScale="80" zoomScaleNormal="80" zoomScaleSheetLayoutView="80" workbookViewId="0">
      <pane xSplit="2" ySplit="8" topLeftCell="C57" activePane="bottomRight" state="frozen"/>
      <selection pane="topRight" activeCell="C1" sqref="C1"/>
      <selection pane="bottomLeft" activeCell="A9" sqref="A9"/>
      <selection pane="bottomRight" activeCell="E6" sqref="E6:E7"/>
    </sheetView>
  </sheetViews>
  <sheetFormatPr defaultRowHeight="15.75" x14ac:dyDescent="0.25"/>
  <cols>
    <col min="1" max="1" width="6.85546875" style="578" customWidth="1"/>
    <col min="2" max="2" width="33.28515625" style="1834" customWidth="1"/>
    <col min="3" max="3" width="16.28515625" style="378" customWidth="1"/>
    <col min="4" max="4" width="14.85546875" style="378" customWidth="1"/>
    <col min="5" max="5" width="13" style="2336" customWidth="1"/>
    <col min="6" max="6" width="13.85546875" style="378" customWidth="1"/>
    <col min="7" max="7" width="15.28515625" style="378" customWidth="1"/>
    <col min="8" max="8" width="13.28515625" style="378" customWidth="1"/>
    <col min="9" max="9" width="14.5703125" style="102" customWidth="1"/>
    <col min="10" max="10" width="16.42578125" style="578" customWidth="1"/>
    <col min="11" max="11" width="17" style="2050" hidden="1" customWidth="1"/>
    <col min="12" max="12" width="14" style="102" bestFit="1" customWidth="1"/>
    <col min="13" max="13" width="11.5703125" style="102" bestFit="1" customWidth="1"/>
    <col min="14" max="256" width="9.140625" style="102"/>
    <col min="257" max="257" width="6.85546875" style="102" customWidth="1"/>
    <col min="258" max="258" width="11.5703125" style="102" customWidth="1"/>
    <col min="259" max="259" width="12.140625" style="102" customWidth="1"/>
    <col min="260" max="260" width="11" style="102" customWidth="1"/>
    <col min="261" max="261" width="11.7109375" style="102" customWidth="1"/>
    <col min="262" max="262" width="9.7109375" style="102" customWidth="1"/>
    <col min="263" max="263" width="9.85546875" style="102" customWidth="1"/>
    <col min="264" max="264" width="10.5703125" style="102" customWidth="1"/>
    <col min="265" max="265" width="10.85546875" style="102" customWidth="1"/>
    <col min="266" max="266" width="16.42578125" style="102" customWidth="1"/>
    <col min="267" max="512" width="9.140625" style="102"/>
    <col min="513" max="513" width="6.85546875" style="102" customWidth="1"/>
    <col min="514" max="514" width="11.5703125" style="102" customWidth="1"/>
    <col min="515" max="515" width="12.140625" style="102" customWidth="1"/>
    <col min="516" max="516" width="11" style="102" customWidth="1"/>
    <col min="517" max="517" width="11.7109375" style="102" customWidth="1"/>
    <col min="518" max="518" width="9.7109375" style="102" customWidth="1"/>
    <col min="519" max="519" width="9.85546875" style="102" customWidth="1"/>
    <col min="520" max="520" width="10.5703125" style="102" customWidth="1"/>
    <col min="521" max="521" width="10.85546875" style="102" customWidth="1"/>
    <col min="522" max="522" width="16.42578125" style="102" customWidth="1"/>
    <col min="523" max="768" width="9.140625" style="102"/>
    <col min="769" max="769" width="6.85546875" style="102" customWidth="1"/>
    <col min="770" max="770" width="11.5703125" style="102" customWidth="1"/>
    <col min="771" max="771" width="12.140625" style="102" customWidth="1"/>
    <col min="772" max="772" width="11" style="102" customWidth="1"/>
    <col min="773" max="773" width="11.7109375" style="102" customWidth="1"/>
    <col min="774" max="774" width="9.7109375" style="102" customWidth="1"/>
    <col min="775" max="775" width="9.85546875" style="102" customWidth="1"/>
    <col min="776" max="776" width="10.5703125" style="102" customWidth="1"/>
    <col min="777" max="777" width="10.85546875" style="102" customWidth="1"/>
    <col min="778" max="778" width="16.42578125" style="102" customWidth="1"/>
    <col min="779" max="1024" width="9.140625" style="102"/>
    <col min="1025" max="1025" width="6.85546875" style="102" customWidth="1"/>
    <col min="1026" max="1026" width="11.5703125" style="102" customWidth="1"/>
    <col min="1027" max="1027" width="12.140625" style="102" customWidth="1"/>
    <col min="1028" max="1028" width="11" style="102" customWidth="1"/>
    <col min="1029" max="1029" width="11.7109375" style="102" customWidth="1"/>
    <col min="1030" max="1030" width="9.7109375" style="102" customWidth="1"/>
    <col min="1031" max="1031" width="9.85546875" style="102" customWidth="1"/>
    <col min="1032" max="1032" width="10.5703125" style="102" customWidth="1"/>
    <col min="1033" max="1033" width="10.85546875" style="102" customWidth="1"/>
    <col min="1034" max="1034" width="16.42578125" style="102" customWidth="1"/>
    <col min="1035" max="1280" width="9.140625" style="102"/>
    <col min="1281" max="1281" width="6.85546875" style="102" customWidth="1"/>
    <col min="1282" max="1282" width="11.5703125" style="102" customWidth="1"/>
    <col min="1283" max="1283" width="12.140625" style="102" customWidth="1"/>
    <col min="1284" max="1284" width="11" style="102" customWidth="1"/>
    <col min="1285" max="1285" width="11.7109375" style="102" customWidth="1"/>
    <col min="1286" max="1286" width="9.7109375" style="102" customWidth="1"/>
    <col min="1287" max="1287" width="9.85546875" style="102" customWidth="1"/>
    <col min="1288" max="1288" width="10.5703125" style="102" customWidth="1"/>
    <col min="1289" max="1289" width="10.85546875" style="102" customWidth="1"/>
    <col min="1290" max="1290" width="16.42578125" style="102" customWidth="1"/>
    <col min="1291" max="1536" width="9.140625" style="102"/>
    <col min="1537" max="1537" width="6.85546875" style="102" customWidth="1"/>
    <col min="1538" max="1538" width="11.5703125" style="102" customWidth="1"/>
    <col min="1539" max="1539" width="12.140625" style="102" customWidth="1"/>
    <col min="1540" max="1540" width="11" style="102" customWidth="1"/>
    <col min="1541" max="1541" width="11.7109375" style="102" customWidth="1"/>
    <col min="1542" max="1542" width="9.7109375" style="102" customWidth="1"/>
    <col min="1543" max="1543" width="9.85546875" style="102" customWidth="1"/>
    <col min="1544" max="1544" width="10.5703125" style="102" customWidth="1"/>
    <col min="1545" max="1545" width="10.85546875" style="102" customWidth="1"/>
    <col min="1546" max="1546" width="16.42578125" style="102" customWidth="1"/>
    <col min="1547" max="1792" width="9.140625" style="102"/>
    <col min="1793" max="1793" width="6.85546875" style="102" customWidth="1"/>
    <col min="1794" max="1794" width="11.5703125" style="102" customWidth="1"/>
    <col min="1795" max="1795" width="12.140625" style="102" customWidth="1"/>
    <col min="1796" max="1796" width="11" style="102" customWidth="1"/>
    <col min="1797" max="1797" width="11.7109375" style="102" customWidth="1"/>
    <col min="1798" max="1798" width="9.7109375" style="102" customWidth="1"/>
    <col min="1799" max="1799" width="9.85546875" style="102" customWidth="1"/>
    <col min="1800" max="1800" width="10.5703125" style="102" customWidth="1"/>
    <col min="1801" max="1801" width="10.85546875" style="102" customWidth="1"/>
    <col min="1802" max="1802" width="16.42578125" style="102" customWidth="1"/>
    <col min="1803" max="2048" width="9.140625" style="102"/>
    <col min="2049" max="2049" width="6.85546875" style="102" customWidth="1"/>
    <col min="2050" max="2050" width="11.5703125" style="102" customWidth="1"/>
    <col min="2051" max="2051" width="12.140625" style="102" customWidth="1"/>
    <col min="2052" max="2052" width="11" style="102" customWidth="1"/>
    <col min="2053" max="2053" width="11.7109375" style="102" customWidth="1"/>
    <col min="2054" max="2054" width="9.7109375" style="102" customWidth="1"/>
    <col min="2055" max="2055" width="9.85546875" style="102" customWidth="1"/>
    <col min="2056" max="2056" width="10.5703125" style="102" customWidth="1"/>
    <col min="2057" max="2057" width="10.85546875" style="102" customWidth="1"/>
    <col min="2058" max="2058" width="16.42578125" style="102" customWidth="1"/>
    <col min="2059" max="2304" width="9.140625" style="102"/>
    <col min="2305" max="2305" width="6.85546875" style="102" customWidth="1"/>
    <col min="2306" max="2306" width="11.5703125" style="102" customWidth="1"/>
    <col min="2307" max="2307" width="12.140625" style="102" customWidth="1"/>
    <col min="2308" max="2308" width="11" style="102" customWidth="1"/>
    <col min="2309" max="2309" width="11.7109375" style="102" customWidth="1"/>
    <col min="2310" max="2310" width="9.7109375" style="102" customWidth="1"/>
    <col min="2311" max="2311" width="9.85546875" style="102" customWidth="1"/>
    <col min="2312" max="2312" width="10.5703125" style="102" customWidth="1"/>
    <col min="2313" max="2313" width="10.85546875" style="102" customWidth="1"/>
    <col min="2314" max="2314" width="16.42578125" style="102" customWidth="1"/>
    <col min="2315" max="2560" width="9.140625" style="102"/>
    <col min="2561" max="2561" width="6.85546875" style="102" customWidth="1"/>
    <col min="2562" max="2562" width="11.5703125" style="102" customWidth="1"/>
    <col min="2563" max="2563" width="12.140625" style="102" customWidth="1"/>
    <col min="2564" max="2564" width="11" style="102" customWidth="1"/>
    <col min="2565" max="2565" width="11.7109375" style="102" customWidth="1"/>
    <col min="2566" max="2566" width="9.7109375" style="102" customWidth="1"/>
    <col min="2567" max="2567" width="9.85546875" style="102" customWidth="1"/>
    <col min="2568" max="2568" width="10.5703125" style="102" customWidth="1"/>
    <col min="2569" max="2569" width="10.85546875" style="102" customWidth="1"/>
    <col min="2570" max="2570" width="16.42578125" style="102" customWidth="1"/>
    <col min="2571" max="2816" width="9.140625" style="102"/>
    <col min="2817" max="2817" width="6.85546875" style="102" customWidth="1"/>
    <col min="2818" max="2818" width="11.5703125" style="102" customWidth="1"/>
    <col min="2819" max="2819" width="12.140625" style="102" customWidth="1"/>
    <col min="2820" max="2820" width="11" style="102" customWidth="1"/>
    <col min="2821" max="2821" width="11.7109375" style="102" customWidth="1"/>
    <col min="2822" max="2822" width="9.7109375" style="102" customWidth="1"/>
    <col min="2823" max="2823" width="9.85546875" style="102" customWidth="1"/>
    <col min="2824" max="2824" width="10.5703125" style="102" customWidth="1"/>
    <col min="2825" max="2825" width="10.85546875" style="102" customWidth="1"/>
    <col min="2826" max="2826" width="16.42578125" style="102" customWidth="1"/>
    <col min="2827" max="3072" width="9.140625" style="102"/>
    <col min="3073" max="3073" width="6.85546875" style="102" customWidth="1"/>
    <col min="3074" max="3074" width="11.5703125" style="102" customWidth="1"/>
    <col min="3075" max="3075" width="12.140625" style="102" customWidth="1"/>
    <col min="3076" max="3076" width="11" style="102" customWidth="1"/>
    <col min="3077" max="3077" width="11.7109375" style="102" customWidth="1"/>
    <col min="3078" max="3078" width="9.7109375" style="102" customWidth="1"/>
    <col min="3079" max="3079" width="9.85546875" style="102" customWidth="1"/>
    <col min="3080" max="3080" width="10.5703125" style="102" customWidth="1"/>
    <col min="3081" max="3081" width="10.85546875" style="102" customWidth="1"/>
    <col min="3082" max="3082" width="16.42578125" style="102" customWidth="1"/>
    <col min="3083" max="3328" width="9.140625" style="102"/>
    <col min="3329" max="3329" width="6.85546875" style="102" customWidth="1"/>
    <col min="3330" max="3330" width="11.5703125" style="102" customWidth="1"/>
    <col min="3331" max="3331" width="12.140625" style="102" customWidth="1"/>
    <col min="3332" max="3332" width="11" style="102" customWidth="1"/>
    <col min="3333" max="3333" width="11.7109375" style="102" customWidth="1"/>
    <col min="3334" max="3334" width="9.7109375" style="102" customWidth="1"/>
    <col min="3335" max="3335" width="9.85546875" style="102" customWidth="1"/>
    <col min="3336" max="3336" width="10.5703125" style="102" customWidth="1"/>
    <col min="3337" max="3337" width="10.85546875" style="102" customWidth="1"/>
    <col min="3338" max="3338" width="16.42578125" style="102" customWidth="1"/>
    <col min="3339" max="3584" width="9.140625" style="102"/>
    <col min="3585" max="3585" width="6.85546875" style="102" customWidth="1"/>
    <col min="3586" max="3586" width="11.5703125" style="102" customWidth="1"/>
    <col min="3587" max="3587" width="12.140625" style="102" customWidth="1"/>
    <col min="3588" max="3588" width="11" style="102" customWidth="1"/>
    <col min="3589" max="3589" width="11.7109375" style="102" customWidth="1"/>
    <col min="3590" max="3590" width="9.7109375" style="102" customWidth="1"/>
    <col min="3591" max="3591" width="9.85546875" style="102" customWidth="1"/>
    <col min="3592" max="3592" width="10.5703125" style="102" customWidth="1"/>
    <col min="3593" max="3593" width="10.85546875" style="102" customWidth="1"/>
    <col min="3594" max="3594" width="16.42578125" style="102" customWidth="1"/>
    <col min="3595" max="3840" width="9.140625" style="102"/>
    <col min="3841" max="3841" width="6.85546875" style="102" customWidth="1"/>
    <col min="3842" max="3842" width="11.5703125" style="102" customWidth="1"/>
    <col min="3843" max="3843" width="12.140625" style="102" customWidth="1"/>
    <col min="3844" max="3844" width="11" style="102" customWidth="1"/>
    <col min="3845" max="3845" width="11.7109375" style="102" customWidth="1"/>
    <col min="3846" max="3846" width="9.7109375" style="102" customWidth="1"/>
    <col min="3847" max="3847" width="9.85546875" style="102" customWidth="1"/>
    <col min="3848" max="3848" width="10.5703125" style="102" customWidth="1"/>
    <col min="3849" max="3849" width="10.85546875" style="102" customWidth="1"/>
    <col min="3850" max="3850" width="16.42578125" style="102" customWidth="1"/>
    <col min="3851" max="4096" width="9.140625" style="102"/>
    <col min="4097" max="4097" width="6.85546875" style="102" customWidth="1"/>
    <col min="4098" max="4098" width="11.5703125" style="102" customWidth="1"/>
    <col min="4099" max="4099" width="12.140625" style="102" customWidth="1"/>
    <col min="4100" max="4100" width="11" style="102" customWidth="1"/>
    <col min="4101" max="4101" width="11.7109375" style="102" customWidth="1"/>
    <col min="4102" max="4102" width="9.7109375" style="102" customWidth="1"/>
    <col min="4103" max="4103" width="9.85546875" style="102" customWidth="1"/>
    <col min="4104" max="4104" width="10.5703125" style="102" customWidth="1"/>
    <col min="4105" max="4105" width="10.85546875" style="102" customWidth="1"/>
    <col min="4106" max="4106" width="16.42578125" style="102" customWidth="1"/>
    <col min="4107" max="4352" width="9.140625" style="102"/>
    <col min="4353" max="4353" width="6.85546875" style="102" customWidth="1"/>
    <col min="4354" max="4354" width="11.5703125" style="102" customWidth="1"/>
    <col min="4355" max="4355" width="12.140625" style="102" customWidth="1"/>
    <col min="4356" max="4356" width="11" style="102" customWidth="1"/>
    <col min="4357" max="4357" width="11.7109375" style="102" customWidth="1"/>
    <col min="4358" max="4358" width="9.7109375" style="102" customWidth="1"/>
    <col min="4359" max="4359" width="9.85546875" style="102" customWidth="1"/>
    <col min="4360" max="4360" width="10.5703125" style="102" customWidth="1"/>
    <col min="4361" max="4361" width="10.85546875" style="102" customWidth="1"/>
    <col min="4362" max="4362" width="16.42578125" style="102" customWidth="1"/>
    <col min="4363" max="4608" width="9.140625" style="102"/>
    <col min="4609" max="4609" width="6.85546875" style="102" customWidth="1"/>
    <col min="4610" max="4610" width="11.5703125" style="102" customWidth="1"/>
    <col min="4611" max="4611" width="12.140625" style="102" customWidth="1"/>
    <col min="4612" max="4612" width="11" style="102" customWidth="1"/>
    <col min="4613" max="4613" width="11.7109375" style="102" customWidth="1"/>
    <col min="4614" max="4614" width="9.7109375" style="102" customWidth="1"/>
    <col min="4615" max="4615" width="9.85546875" style="102" customWidth="1"/>
    <col min="4616" max="4616" width="10.5703125" style="102" customWidth="1"/>
    <col min="4617" max="4617" width="10.85546875" style="102" customWidth="1"/>
    <col min="4618" max="4618" width="16.42578125" style="102" customWidth="1"/>
    <col min="4619" max="4864" width="9.140625" style="102"/>
    <col min="4865" max="4865" width="6.85546875" style="102" customWidth="1"/>
    <col min="4866" max="4866" width="11.5703125" style="102" customWidth="1"/>
    <col min="4867" max="4867" width="12.140625" style="102" customWidth="1"/>
    <col min="4868" max="4868" width="11" style="102" customWidth="1"/>
    <col min="4869" max="4869" width="11.7109375" style="102" customWidth="1"/>
    <col min="4870" max="4870" width="9.7109375" style="102" customWidth="1"/>
    <col min="4871" max="4871" width="9.85546875" style="102" customWidth="1"/>
    <col min="4872" max="4872" width="10.5703125" style="102" customWidth="1"/>
    <col min="4873" max="4873" width="10.85546875" style="102" customWidth="1"/>
    <col min="4874" max="4874" width="16.42578125" style="102" customWidth="1"/>
    <col min="4875" max="5120" width="9.140625" style="102"/>
    <col min="5121" max="5121" width="6.85546875" style="102" customWidth="1"/>
    <col min="5122" max="5122" width="11.5703125" style="102" customWidth="1"/>
    <col min="5123" max="5123" width="12.140625" style="102" customWidth="1"/>
    <col min="5124" max="5124" width="11" style="102" customWidth="1"/>
    <col min="5125" max="5125" width="11.7109375" style="102" customWidth="1"/>
    <col min="5126" max="5126" width="9.7109375" style="102" customWidth="1"/>
    <col min="5127" max="5127" width="9.85546875" style="102" customWidth="1"/>
    <col min="5128" max="5128" width="10.5703125" style="102" customWidth="1"/>
    <col min="5129" max="5129" width="10.85546875" style="102" customWidth="1"/>
    <col min="5130" max="5130" width="16.42578125" style="102" customWidth="1"/>
    <col min="5131" max="5376" width="9.140625" style="102"/>
    <col min="5377" max="5377" width="6.85546875" style="102" customWidth="1"/>
    <col min="5378" max="5378" width="11.5703125" style="102" customWidth="1"/>
    <col min="5379" max="5379" width="12.140625" style="102" customWidth="1"/>
    <col min="5380" max="5380" width="11" style="102" customWidth="1"/>
    <col min="5381" max="5381" width="11.7109375" style="102" customWidth="1"/>
    <col min="5382" max="5382" width="9.7109375" style="102" customWidth="1"/>
    <col min="5383" max="5383" width="9.85546875" style="102" customWidth="1"/>
    <col min="5384" max="5384" width="10.5703125" style="102" customWidth="1"/>
    <col min="5385" max="5385" width="10.85546875" style="102" customWidth="1"/>
    <col min="5386" max="5386" width="16.42578125" style="102" customWidth="1"/>
    <col min="5387" max="5632" width="9.140625" style="102"/>
    <col min="5633" max="5633" width="6.85546875" style="102" customWidth="1"/>
    <col min="5634" max="5634" width="11.5703125" style="102" customWidth="1"/>
    <col min="5635" max="5635" width="12.140625" style="102" customWidth="1"/>
    <col min="5636" max="5636" width="11" style="102" customWidth="1"/>
    <col min="5637" max="5637" width="11.7109375" style="102" customWidth="1"/>
    <col min="5638" max="5638" width="9.7109375" style="102" customWidth="1"/>
    <col min="5639" max="5639" width="9.85546875" style="102" customWidth="1"/>
    <col min="5640" max="5640" width="10.5703125" style="102" customWidth="1"/>
    <col min="5641" max="5641" width="10.85546875" style="102" customWidth="1"/>
    <col min="5642" max="5642" width="16.42578125" style="102" customWidth="1"/>
    <col min="5643" max="5888" width="9.140625" style="102"/>
    <col min="5889" max="5889" width="6.85546875" style="102" customWidth="1"/>
    <col min="5890" max="5890" width="11.5703125" style="102" customWidth="1"/>
    <col min="5891" max="5891" width="12.140625" style="102" customWidth="1"/>
    <col min="5892" max="5892" width="11" style="102" customWidth="1"/>
    <col min="5893" max="5893" width="11.7109375" style="102" customWidth="1"/>
    <col min="5894" max="5894" width="9.7109375" style="102" customWidth="1"/>
    <col min="5895" max="5895" width="9.85546875" style="102" customWidth="1"/>
    <col min="5896" max="5896" width="10.5703125" style="102" customWidth="1"/>
    <col min="5897" max="5897" width="10.85546875" style="102" customWidth="1"/>
    <col min="5898" max="5898" width="16.42578125" style="102" customWidth="1"/>
    <col min="5899" max="6144" width="9.140625" style="102"/>
    <col min="6145" max="6145" width="6.85546875" style="102" customWidth="1"/>
    <col min="6146" max="6146" width="11.5703125" style="102" customWidth="1"/>
    <col min="6147" max="6147" width="12.140625" style="102" customWidth="1"/>
    <col min="6148" max="6148" width="11" style="102" customWidth="1"/>
    <col min="6149" max="6149" width="11.7109375" style="102" customWidth="1"/>
    <col min="6150" max="6150" width="9.7109375" style="102" customWidth="1"/>
    <col min="6151" max="6151" width="9.85546875" style="102" customWidth="1"/>
    <col min="6152" max="6152" width="10.5703125" style="102" customWidth="1"/>
    <col min="6153" max="6153" width="10.85546875" style="102" customWidth="1"/>
    <col min="6154" max="6154" width="16.42578125" style="102" customWidth="1"/>
    <col min="6155" max="6400" width="9.140625" style="102"/>
    <col min="6401" max="6401" width="6.85546875" style="102" customWidth="1"/>
    <col min="6402" max="6402" width="11.5703125" style="102" customWidth="1"/>
    <col min="6403" max="6403" width="12.140625" style="102" customWidth="1"/>
    <col min="6404" max="6404" width="11" style="102" customWidth="1"/>
    <col min="6405" max="6405" width="11.7109375" style="102" customWidth="1"/>
    <col min="6406" max="6406" width="9.7109375" style="102" customWidth="1"/>
    <col min="6407" max="6407" width="9.85546875" style="102" customWidth="1"/>
    <col min="6408" max="6408" width="10.5703125" style="102" customWidth="1"/>
    <col min="6409" max="6409" width="10.85546875" style="102" customWidth="1"/>
    <col min="6410" max="6410" width="16.42578125" style="102" customWidth="1"/>
    <col min="6411" max="6656" width="9.140625" style="102"/>
    <col min="6657" max="6657" width="6.85546875" style="102" customWidth="1"/>
    <col min="6658" max="6658" width="11.5703125" style="102" customWidth="1"/>
    <col min="6659" max="6659" width="12.140625" style="102" customWidth="1"/>
    <col min="6660" max="6660" width="11" style="102" customWidth="1"/>
    <col min="6661" max="6661" width="11.7109375" style="102" customWidth="1"/>
    <col min="6662" max="6662" width="9.7109375" style="102" customWidth="1"/>
    <col min="6663" max="6663" width="9.85546875" style="102" customWidth="1"/>
    <col min="6664" max="6664" width="10.5703125" style="102" customWidth="1"/>
    <col min="6665" max="6665" width="10.85546875" style="102" customWidth="1"/>
    <col min="6666" max="6666" width="16.42578125" style="102" customWidth="1"/>
    <col min="6667" max="6912" width="9.140625" style="102"/>
    <col min="6913" max="6913" width="6.85546875" style="102" customWidth="1"/>
    <col min="6914" max="6914" width="11.5703125" style="102" customWidth="1"/>
    <col min="6915" max="6915" width="12.140625" style="102" customWidth="1"/>
    <col min="6916" max="6916" width="11" style="102" customWidth="1"/>
    <col min="6917" max="6917" width="11.7109375" style="102" customWidth="1"/>
    <col min="6918" max="6918" width="9.7109375" style="102" customWidth="1"/>
    <col min="6919" max="6919" width="9.85546875" style="102" customWidth="1"/>
    <col min="6920" max="6920" width="10.5703125" style="102" customWidth="1"/>
    <col min="6921" max="6921" width="10.85546875" style="102" customWidth="1"/>
    <col min="6922" max="6922" width="16.42578125" style="102" customWidth="1"/>
    <col min="6923" max="7168" width="9.140625" style="102"/>
    <col min="7169" max="7169" width="6.85546875" style="102" customWidth="1"/>
    <col min="7170" max="7170" width="11.5703125" style="102" customWidth="1"/>
    <col min="7171" max="7171" width="12.140625" style="102" customWidth="1"/>
    <col min="7172" max="7172" width="11" style="102" customWidth="1"/>
    <col min="7173" max="7173" width="11.7109375" style="102" customWidth="1"/>
    <col min="7174" max="7174" width="9.7109375" style="102" customWidth="1"/>
    <col min="7175" max="7175" width="9.85546875" style="102" customWidth="1"/>
    <col min="7176" max="7176" width="10.5703125" style="102" customWidth="1"/>
    <col min="7177" max="7177" width="10.85546875" style="102" customWidth="1"/>
    <col min="7178" max="7178" width="16.42578125" style="102" customWidth="1"/>
    <col min="7179" max="7424" width="9.140625" style="102"/>
    <col min="7425" max="7425" width="6.85546875" style="102" customWidth="1"/>
    <col min="7426" max="7426" width="11.5703125" style="102" customWidth="1"/>
    <col min="7427" max="7427" width="12.140625" style="102" customWidth="1"/>
    <col min="7428" max="7428" width="11" style="102" customWidth="1"/>
    <col min="7429" max="7429" width="11.7109375" style="102" customWidth="1"/>
    <col min="7430" max="7430" width="9.7109375" style="102" customWidth="1"/>
    <col min="7431" max="7431" width="9.85546875" style="102" customWidth="1"/>
    <col min="7432" max="7432" width="10.5703125" style="102" customWidth="1"/>
    <col min="7433" max="7433" width="10.85546875" style="102" customWidth="1"/>
    <col min="7434" max="7434" width="16.42578125" style="102" customWidth="1"/>
    <col min="7435" max="7680" width="9.140625" style="102"/>
    <col min="7681" max="7681" width="6.85546875" style="102" customWidth="1"/>
    <col min="7682" max="7682" width="11.5703125" style="102" customWidth="1"/>
    <col min="7683" max="7683" width="12.140625" style="102" customWidth="1"/>
    <col min="7684" max="7684" width="11" style="102" customWidth="1"/>
    <col min="7685" max="7685" width="11.7109375" style="102" customWidth="1"/>
    <col min="7686" max="7686" width="9.7109375" style="102" customWidth="1"/>
    <col min="7687" max="7687" width="9.85546875" style="102" customWidth="1"/>
    <col min="7688" max="7688" width="10.5703125" style="102" customWidth="1"/>
    <col min="7689" max="7689" width="10.85546875" style="102" customWidth="1"/>
    <col min="7690" max="7690" width="16.42578125" style="102" customWidth="1"/>
    <col min="7691" max="7936" width="9.140625" style="102"/>
    <col min="7937" max="7937" width="6.85546875" style="102" customWidth="1"/>
    <col min="7938" max="7938" width="11.5703125" style="102" customWidth="1"/>
    <col min="7939" max="7939" width="12.140625" style="102" customWidth="1"/>
    <col min="7940" max="7940" width="11" style="102" customWidth="1"/>
    <col min="7941" max="7941" width="11.7109375" style="102" customWidth="1"/>
    <col min="7942" max="7942" width="9.7109375" style="102" customWidth="1"/>
    <col min="7943" max="7943" width="9.85546875" style="102" customWidth="1"/>
    <col min="7944" max="7944" width="10.5703125" style="102" customWidth="1"/>
    <col min="7945" max="7945" width="10.85546875" style="102" customWidth="1"/>
    <col min="7946" max="7946" width="16.42578125" style="102" customWidth="1"/>
    <col min="7947" max="8192" width="9.140625" style="102"/>
    <col min="8193" max="8193" width="6.85546875" style="102" customWidth="1"/>
    <col min="8194" max="8194" width="11.5703125" style="102" customWidth="1"/>
    <col min="8195" max="8195" width="12.140625" style="102" customWidth="1"/>
    <col min="8196" max="8196" width="11" style="102" customWidth="1"/>
    <col min="8197" max="8197" width="11.7109375" style="102" customWidth="1"/>
    <col min="8198" max="8198" width="9.7109375" style="102" customWidth="1"/>
    <col min="8199" max="8199" width="9.85546875" style="102" customWidth="1"/>
    <col min="8200" max="8200" width="10.5703125" style="102" customWidth="1"/>
    <col min="8201" max="8201" width="10.85546875" style="102" customWidth="1"/>
    <col min="8202" max="8202" width="16.42578125" style="102" customWidth="1"/>
    <col min="8203" max="8448" width="9.140625" style="102"/>
    <col min="8449" max="8449" width="6.85546875" style="102" customWidth="1"/>
    <col min="8450" max="8450" width="11.5703125" style="102" customWidth="1"/>
    <col min="8451" max="8451" width="12.140625" style="102" customWidth="1"/>
    <col min="8452" max="8452" width="11" style="102" customWidth="1"/>
    <col min="8453" max="8453" width="11.7109375" style="102" customWidth="1"/>
    <col min="8454" max="8454" width="9.7109375" style="102" customWidth="1"/>
    <col min="8455" max="8455" width="9.85546875" style="102" customWidth="1"/>
    <col min="8456" max="8456" width="10.5703125" style="102" customWidth="1"/>
    <col min="8457" max="8457" width="10.85546875" style="102" customWidth="1"/>
    <col min="8458" max="8458" width="16.42578125" style="102" customWidth="1"/>
    <col min="8459" max="8704" width="9.140625" style="102"/>
    <col min="8705" max="8705" width="6.85546875" style="102" customWidth="1"/>
    <col min="8706" max="8706" width="11.5703125" style="102" customWidth="1"/>
    <col min="8707" max="8707" width="12.140625" style="102" customWidth="1"/>
    <col min="8708" max="8708" width="11" style="102" customWidth="1"/>
    <col min="8709" max="8709" width="11.7109375" style="102" customWidth="1"/>
    <col min="8710" max="8710" width="9.7109375" style="102" customWidth="1"/>
    <col min="8711" max="8711" width="9.85546875" style="102" customWidth="1"/>
    <col min="8712" max="8712" width="10.5703125" style="102" customWidth="1"/>
    <col min="8713" max="8713" width="10.85546875" style="102" customWidth="1"/>
    <col min="8714" max="8714" width="16.42578125" style="102" customWidth="1"/>
    <col min="8715" max="8960" width="9.140625" style="102"/>
    <col min="8961" max="8961" width="6.85546875" style="102" customWidth="1"/>
    <col min="8962" max="8962" width="11.5703125" style="102" customWidth="1"/>
    <col min="8963" max="8963" width="12.140625" style="102" customWidth="1"/>
    <col min="8964" max="8964" width="11" style="102" customWidth="1"/>
    <col min="8965" max="8965" width="11.7109375" style="102" customWidth="1"/>
    <col min="8966" max="8966" width="9.7109375" style="102" customWidth="1"/>
    <col min="8967" max="8967" width="9.85546875" style="102" customWidth="1"/>
    <col min="8968" max="8968" width="10.5703125" style="102" customWidth="1"/>
    <col min="8969" max="8969" width="10.85546875" style="102" customWidth="1"/>
    <col min="8970" max="8970" width="16.42578125" style="102" customWidth="1"/>
    <col min="8971" max="9216" width="9.140625" style="102"/>
    <col min="9217" max="9217" width="6.85546875" style="102" customWidth="1"/>
    <col min="9218" max="9218" width="11.5703125" style="102" customWidth="1"/>
    <col min="9219" max="9219" width="12.140625" style="102" customWidth="1"/>
    <col min="9220" max="9220" width="11" style="102" customWidth="1"/>
    <col min="9221" max="9221" width="11.7109375" style="102" customWidth="1"/>
    <col min="9222" max="9222" width="9.7109375" style="102" customWidth="1"/>
    <col min="9223" max="9223" width="9.85546875" style="102" customWidth="1"/>
    <col min="9224" max="9224" width="10.5703125" style="102" customWidth="1"/>
    <col min="9225" max="9225" width="10.85546875" style="102" customWidth="1"/>
    <col min="9226" max="9226" width="16.42578125" style="102" customWidth="1"/>
    <col min="9227" max="9472" width="9.140625" style="102"/>
    <col min="9473" max="9473" width="6.85546875" style="102" customWidth="1"/>
    <col min="9474" max="9474" width="11.5703125" style="102" customWidth="1"/>
    <col min="9475" max="9475" width="12.140625" style="102" customWidth="1"/>
    <col min="9476" max="9476" width="11" style="102" customWidth="1"/>
    <col min="9477" max="9477" width="11.7109375" style="102" customWidth="1"/>
    <col min="9478" max="9478" width="9.7109375" style="102" customWidth="1"/>
    <col min="9479" max="9479" width="9.85546875" style="102" customWidth="1"/>
    <col min="9480" max="9480" width="10.5703125" style="102" customWidth="1"/>
    <col min="9481" max="9481" width="10.85546875" style="102" customWidth="1"/>
    <col min="9482" max="9482" width="16.42578125" style="102" customWidth="1"/>
    <col min="9483" max="9728" width="9.140625" style="102"/>
    <col min="9729" max="9729" width="6.85546875" style="102" customWidth="1"/>
    <col min="9730" max="9730" width="11.5703125" style="102" customWidth="1"/>
    <col min="9731" max="9731" width="12.140625" style="102" customWidth="1"/>
    <col min="9732" max="9732" width="11" style="102" customWidth="1"/>
    <col min="9733" max="9733" width="11.7109375" style="102" customWidth="1"/>
    <col min="9734" max="9734" width="9.7109375" style="102" customWidth="1"/>
    <col min="9735" max="9735" width="9.85546875" style="102" customWidth="1"/>
    <col min="9736" max="9736" width="10.5703125" style="102" customWidth="1"/>
    <col min="9737" max="9737" width="10.85546875" style="102" customWidth="1"/>
    <col min="9738" max="9738" width="16.42578125" style="102" customWidth="1"/>
    <col min="9739" max="9984" width="9.140625" style="102"/>
    <col min="9985" max="9985" width="6.85546875" style="102" customWidth="1"/>
    <col min="9986" max="9986" width="11.5703125" style="102" customWidth="1"/>
    <col min="9987" max="9987" width="12.140625" style="102" customWidth="1"/>
    <col min="9988" max="9988" width="11" style="102" customWidth="1"/>
    <col min="9989" max="9989" width="11.7109375" style="102" customWidth="1"/>
    <col min="9990" max="9990" width="9.7109375" style="102" customWidth="1"/>
    <col min="9991" max="9991" width="9.85546875" style="102" customWidth="1"/>
    <col min="9992" max="9992" width="10.5703125" style="102" customWidth="1"/>
    <col min="9993" max="9993" width="10.85546875" style="102" customWidth="1"/>
    <col min="9994" max="9994" width="16.42578125" style="102" customWidth="1"/>
    <col min="9995" max="10240" width="9.140625" style="102"/>
    <col min="10241" max="10241" width="6.85546875" style="102" customWidth="1"/>
    <col min="10242" max="10242" width="11.5703125" style="102" customWidth="1"/>
    <col min="10243" max="10243" width="12.140625" style="102" customWidth="1"/>
    <col min="10244" max="10244" width="11" style="102" customWidth="1"/>
    <col min="10245" max="10245" width="11.7109375" style="102" customWidth="1"/>
    <col min="10246" max="10246" width="9.7109375" style="102" customWidth="1"/>
    <col min="10247" max="10247" width="9.85546875" style="102" customWidth="1"/>
    <col min="10248" max="10248" width="10.5703125" style="102" customWidth="1"/>
    <col min="10249" max="10249" width="10.85546875" style="102" customWidth="1"/>
    <col min="10250" max="10250" width="16.42578125" style="102" customWidth="1"/>
    <col min="10251" max="10496" width="9.140625" style="102"/>
    <col min="10497" max="10497" width="6.85546875" style="102" customWidth="1"/>
    <col min="10498" max="10498" width="11.5703125" style="102" customWidth="1"/>
    <col min="10499" max="10499" width="12.140625" style="102" customWidth="1"/>
    <col min="10500" max="10500" width="11" style="102" customWidth="1"/>
    <col min="10501" max="10501" width="11.7109375" style="102" customWidth="1"/>
    <col min="10502" max="10502" width="9.7109375" style="102" customWidth="1"/>
    <col min="10503" max="10503" width="9.85546875" style="102" customWidth="1"/>
    <col min="10504" max="10504" width="10.5703125" style="102" customWidth="1"/>
    <col min="10505" max="10505" width="10.85546875" style="102" customWidth="1"/>
    <col min="10506" max="10506" width="16.42578125" style="102" customWidth="1"/>
    <col min="10507" max="10752" width="9.140625" style="102"/>
    <col min="10753" max="10753" width="6.85546875" style="102" customWidth="1"/>
    <col min="10754" max="10754" width="11.5703125" style="102" customWidth="1"/>
    <col min="10755" max="10755" width="12.140625" style="102" customWidth="1"/>
    <col min="10756" max="10756" width="11" style="102" customWidth="1"/>
    <col min="10757" max="10757" width="11.7109375" style="102" customWidth="1"/>
    <col min="10758" max="10758" width="9.7109375" style="102" customWidth="1"/>
    <col min="10759" max="10759" width="9.85546875" style="102" customWidth="1"/>
    <col min="10760" max="10760" width="10.5703125" style="102" customWidth="1"/>
    <col min="10761" max="10761" width="10.85546875" style="102" customWidth="1"/>
    <col min="10762" max="10762" width="16.42578125" style="102" customWidth="1"/>
    <col min="10763" max="11008" width="9.140625" style="102"/>
    <col min="11009" max="11009" width="6.85546875" style="102" customWidth="1"/>
    <col min="11010" max="11010" width="11.5703125" style="102" customWidth="1"/>
    <col min="11011" max="11011" width="12.140625" style="102" customWidth="1"/>
    <col min="11012" max="11012" width="11" style="102" customWidth="1"/>
    <col min="11013" max="11013" width="11.7109375" style="102" customWidth="1"/>
    <col min="11014" max="11014" width="9.7109375" style="102" customWidth="1"/>
    <col min="11015" max="11015" width="9.85546875" style="102" customWidth="1"/>
    <col min="11016" max="11016" width="10.5703125" style="102" customWidth="1"/>
    <col min="11017" max="11017" width="10.85546875" style="102" customWidth="1"/>
    <col min="11018" max="11018" width="16.42578125" style="102" customWidth="1"/>
    <col min="11019" max="11264" width="9.140625" style="102"/>
    <col min="11265" max="11265" width="6.85546875" style="102" customWidth="1"/>
    <col min="11266" max="11266" width="11.5703125" style="102" customWidth="1"/>
    <col min="11267" max="11267" width="12.140625" style="102" customWidth="1"/>
    <col min="11268" max="11268" width="11" style="102" customWidth="1"/>
    <col min="11269" max="11269" width="11.7109375" style="102" customWidth="1"/>
    <col min="11270" max="11270" width="9.7109375" style="102" customWidth="1"/>
    <col min="11271" max="11271" width="9.85546875" style="102" customWidth="1"/>
    <col min="11272" max="11272" width="10.5703125" style="102" customWidth="1"/>
    <col min="11273" max="11273" width="10.85546875" style="102" customWidth="1"/>
    <col min="11274" max="11274" width="16.42578125" style="102" customWidth="1"/>
    <col min="11275" max="11520" width="9.140625" style="102"/>
    <col min="11521" max="11521" width="6.85546875" style="102" customWidth="1"/>
    <col min="11522" max="11522" width="11.5703125" style="102" customWidth="1"/>
    <col min="11523" max="11523" width="12.140625" style="102" customWidth="1"/>
    <col min="11524" max="11524" width="11" style="102" customWidth="1"/>
    <col min="11525" max="11525" width="11.7109375" style="102" customWidth="1"/>
    <col min="11526" max="11526" width="9.7109375" style="102" customWidth="1"/>
    <col min="11527" max="11527" width="9.85546875" style="102" customWidth="1"/>
    <col min="11528" max="11528" width="10.5703125" style="102" customWidth="1"/>
    <col min="11529" max="11529" width="10.85546875" style="102" customWidth="1"/>
    <col min="11530" max="11530" width="16.42578125" style="102" customWidth="1"/>
    <col min="11531" max="11776" width="9.140625" style="102"/>
    <col min="11777" max="11777" width="6.85546875" style="102" customWidth="1"/>
    <col min="11778" max="11778" width="11.5703125" style="102" customWidth="1"/>
    <col min="11779" max="11779" width="12.140625" style="102" customWidth="1"/>
    <col min="11780" max="11780" width="11" style="102" customWidth="1"/>
    <col min="11781" max="11781" width="11.7109375" style="102" customWidth="1"/>
    <col min="11782" max="11782" width="9.7109375" style="102" customWidth="1"/>
    <col min="11783" max="11783" width="9.85546875" style="102" customWidth="1"/>
    <col min="11784" max="11784" width="10.5703125" style="102" customWidth="1"/>
    <col min="11785" max="11785" width="10.85546875" style="102" customWidth="1"/>
    <col min="11786" max="11786" width="16.42578125" style="102" customWidth="1"/>
    <col min="11787" max="12032" width="9.140625" style="102"/>
    <col min="12033" max="12033" width="6.85546875" style="102" customWidth="1"/>
    <col min="12034" max="12034" width="11.5703125" style="102" customWidth="1"/>
    <col min="12035" max="12035" width="12.140625" style="102" customWidth="1"/>
    <col min="12036" max="12036" width="11" style="102" customWidth="1"/>
    <col min="12037" max="12037" width="11.7109375" style="102" customWidth="1"/>
    <col min="12038" max="12038" width="9.7109375" style="102" customWidth="1"/>
    <col min="12039" max="12039" width="9.85546875" style="102" customWidth="1"/>
    <col min="12040" max="12040" width="10.5703125" style="102" customWidth="1"/>
    <col min="12041" max="12041" width="10.85546875" style="102" customWidth="1"/>
    <col min="12042" max="12042" width="16.42578125" style="102" customWidth="1"/>
    <col min="12043" max="12288" width="9.140625" style="102"/>
    <col min="12289" max="12289" width="6.85546875" style="102" customWidth="1"/>
    <col min="12290" max="12290" width="11.5703125" style="102" customWidth="1"/>
    <col min="12291" max="12291" width="12.140625" style="102" customWidth="1"/>
    <col min="12292" max="12292" width="11" style="102" customWidth="1"/>
    <col min="12293" max="12293" width="11.7109375" style="102" customWidth="1"/>
    <col min="12294" max="12294" width="9.7109375" style="102" customWidth="1"/>
    <col min="12295" max="12295" width="9.85546875" style="102" customWidth="1"/>
    <col min="12296" max="12296" width="10.5703125" style="102" customWidth="1"/>
    <col min="12297" max="12297" width="10.85546875" style="102" customWidth="1"/>
    <col min="12298" max="12298" width="16.42578125" style="102" customWidth="1"/>
    <col min="12299" max="12544" width="9.140625" style="102"/>
    <col min="12545" max="12545" width="6.85546875" style="102" customWidth="1"/>
    <col min="12546" max="12546" width="11.5703125" style="102" customWidth="1"/>
    <col min="12547" max="12547" width="12.140625" style="102" customWidth="1"/>
    <col min="12548" max="12548" width="11" style="102" customWidth="1"/>
    <col min="12549" max="12549" width="11.7109375" style="102" customWidth="1"/>
    <col min="12550" max="12550" width="9.7109375" style="102" customWidth="1"/>
    <col min="12551" max="12551" width="9.85546875" style="102" customWidth="1"/>
    <col min="12552" max="12552" width="10.5703125" style="102" customWidth="1"/>
    <col min="12553" max="12553" width="10.85546875" style="102" customWidth="1"/>
    <col min="12554" max="12554" width="16.42578125" style="102" customWidth="1"/>
    <col min="12555" max="12800" width="9.140625" style="102"/>
    <col min="12801" max="12801" width="6.85546875" style="102" customWidth="1"/>
    <col min="12802" max="12802" width="11.5703125" style="102" customWidth="1"/>
    <col min="12803" max="12803" width="12.140625" style="102" customWidth="1"/>
    <col min="12804" max="12804" width="11" style="102" customWidth="1"/>
    <col min="12805" max="12805" width="11.7109375" style="102" customWidth="1"/>
    <col min="12806" max="12806" width="9.7109375" style="102" customWidth="1"/>
    <col min="12807" max="12807" width="9.85546875" style="102" customWidth="1"/>
    <col min="12808" max="12808" width="10.5703125" style="102" customWidth="1"/>
    <col min="12809" max="12809" width="10.85546875" style="102" customWidth="1"/>
    <col min="12810" max="12810" width="16.42578125" style="102" customWidth="1"/>
    <col min="12811" max="13056" width="9.140625" style="102"/>
    <col min="13057" max="13057" width="6.85546875" style="102" customWidth="1"/>
    <col min="13058" max="13058" width="11.5703125" style="102" customWidth="1"/>
    <col min="13059" max="13059" width="12.140625" style="102" customWidth="1"/>
    <col min="13060" max="13060" width="11" style="102" customWidth="1"/>
    <col min="13061" max="13061" width="11.7109375" style="102" customWidth="1"/>
    <col min="13062" max="13062" width="9.7109375" style="102" customWidth="1"/>
    <col min="13063" max="13063" width="9.85546875" style="102" customWidth="1"/>
    <col min="13064" max="13064" width="10.5703125" style="102" customWidth="1"/>
    <col min="13065" max="13065" width="10.85546875" style="102" customWidth="1"/>
    <col min="13066" max="13066" width="16.42578125" style="102" customWidth="1"/>
    <col min="13067" max="13312" width="9.140625" style="102"/>
    <col min="13313" max="13313" width="6.85546875" style="102" customWidth="1"/>
    <col min="13314" max="13314" width="11.5703125" style="102" customWidth="1"/>
    <col min="13315" max="13315" width="12.140625" style="102" customWidth="1"/>
    <col min="13316" max="13316" width="11" style="102" customWidth="1"/>
    <col min="13317" max="13317" width="11.7109375" style="102" customWidth="1"/>
    <col min="13318" max="13318" width="9.7109375" style="102" customWidth="1"/>
    <col min="13319" max="13319" width="9.85546875" style="102" customWidth="1"/>
    <col min="13320" max="13320" width="10.5703125" style="102" customWidth="1"/>
    <col min="13321" max="13321" width="10.85546875" style="102" customWidth="1"/>
    <col min="13322" max="13322" width="16.42578125" style="102" customWidth="1"/>
    <col min="13323" max="13568" width="9.140625" style="102"/>
    <col min="13569" max="13569" width="6.85546875" style="102" customWidth="1"/>
    <col min="13570" max="13570" width="11.5703125" style="102" customWidth="1"/>
    <col min="13571" max="13571" width="12.140625" style="102" customWidth="1"/>
    <col min="13572" max="13572" width="11" style="102" customWidth="1"/>
    <col min="13573" max="13573" width="11.7109375" style="102" customWidth="1"/>
    <col min="13574" max="13574" width="9.7109375" style="102" customWidth="1"/>
    <col min="13575" max="13575" width="9.85546875" style="102" customWidth="1"/>
    <col min="13576" max="13576" width="10.5703125" style="102" customWidth="1"/>
    <col min="13577" max="13577" width="10.85546875" style="102" customWidth="1"/>
    <col min="13578" max="13578" width="16.42578125" style="102" customWidth="1"/>
    <col min="13579" max="13824" width="9.140625" style="102"/>
    <col min="13825" max="13825" width="6.85546875" style="102" customWidth="1"/>
    <col min="13826" max="13826" width="11.5703125" style="102" customWidth="1"/>
    <col min="13827" max="13827" width="12.140625" style="102" customWidth="1"/>
    <col min="13828" max="13828" width="11" style="102" customWidth="1"/>
    <col min="13829" max="13829" width="11.7109375" style="102" customWidth="1"/>
    <col min="13830" max="13830" width="9.7109375" style="102" customWidth="1"/>
    <col min="13831" max="13831" width="9.85546875" style="102" customWidth="1"/>
    <col min="13832" max="13832" width="10.5703125" style="102" customWidth="1"/>
    <col min="13833" max="13833" width="10.85546875" style="102" customWidth="1"/>
    <col min="13834" max="13834" width="16.42578125" style="102" customWidth="1"/>
    <col min="13835" max="14080" width="9.140625" style="102"/>
    <col min="14081" max="14081" width="6.85546875" style="102" customWidth="1"/>
    <col min="14082" max="14082" width="11.5703125" style="102" customWidth="1"/>
    <col min="14083" max="14083" width="12.140625" style="102" customWidth="1"/>
    <col min="14084" max="14084" width="11" style="102" customWidth="1"/>
    <col min="14085" max="14085" width="11.7109375" style="102" customWidth="1"/>
    <col min="14086" max="14086" width="9.7109375" style="102" customWidth="1"/>
    <col min="14087" max="14087" width="9.85546875" style="102" customWidth="1"/>
    <col min="14088" max="14088" width="10.5703125" style="102" customWidth="1"/>
    <col min="14089" max="14089" width="10.85546875" style="102" customWidth="1"/>
    <col min="14090" max="14090" width="16.42578125" style="102" customWidth="1"/>
    <col min="14091" max="14336" width="9.140625" style="102"/>
    <col min="14337" max="14337" width="6.85546875" style="102" customWidth="1"/>
    <col min="14338" max="14338" width="11.5703125" style="102" customWidth="1"/>
    <col min="14339" max="14339" width="12.140625" style="102" customWidth="1"/>
    <col min="14340" max="14340" width="11" style="102" customWidth="1"/>
    <col min="14341" max="14341" width="11.7109375" style="102" customWidth="1"/>
    <col min="14342" max="14342" width="9.7109375" style="102" customWidth="1"/>
    <col min="14343" max="14343" width="9.85546875" style="102" customWidth="1"/>
    <col min="14344" max="14344" width="10.5703125" style="102" customWidth="1"/>
    <col min="14345" max="14345" width="10.85546875" style="102" customWidth="1"/>
    <col min="14346" max="14346" width="16.42578125" style="102" customWidth="1"/>
    <col min="14347" max="14592" width="9.140625" style="102"/>
    <col min="14593" max="14593" width="6.85546875" style="102" customWidth="1"/>
    <col min="14594" max="14594" width="11.5703125" style="102" customWidth="1"/>
    <col min="14595" max="14595" width="12.140625" style="102" customWidth="1"/>
    <col min="14596" max="14596" width="11" style="102" customWidth="1"/>
    <col min="14597" max="14597" width="11.7109375" style="102" customWidth="1"/>
    <col min="14598" max="14598" width="9.7109375" style="102" customWidth="1"/>
    <col min="14599" max="14599" width="9.85546875" style="102" customWidth="1"/>
    <col min="14600" max="14600" width="10.5703125" style="102" customWidth="1"/>
    <col min="14601" max="14601" width="10.85546875" style="102" customWidth="1"/>
    <col min="14602" max="14602" width="16.42578125" style="102" customWidth="1"/>
    <col min="14603" max="14848" width="9.140625" style="102"/>
    <col min="14849" max="14849" width="6.85546875" style="102" customWidth="1"/>
    <col min="14850" max="14850" width="11.5703125" style="102" customWidth="1"/>
    <col min="14851" max="14851" width="12.140625" style="102" customWidth="1"/>
    <col min="14852" max="14852" width="11" style="102" customWidth="1"/>
    <col min="14853" max="14853" width="11.7109375" style="102" customWidth="1"/>
    <col min="14854" max="14854" width="9.7109375" style="102" customWidth="1"/>
    <col min="14855" max="14855" width="9.85546875" style="102" customWidth="1"/>
    <col min="14856" max="14856" width="10.5703125" style="102" customWidth="1"/>
    <col min="14857" max="14857" width="10.85546875" style="102" customWidth="1"/>
    <col min="14858" max="14858" width="16.42578125" style="102" customWidth="1"/>
    <col min="14859" max="15104" width="9.140625" style="102"/>
    <col min="15105" max="15105" width="6.85546875" style="102" customWidth="1"/>
    <col min="15106" max="15106" width="11.5703125" style="102" customWidth="1"/>
    <col min="15107" max="15107" width="12.140625" style="102" customWidth="1"/>
    <col min="15108" max="15108" width="11" style="102" customWidth="1"/>
    <col min="15109" max="15109" width="11.7109375" style="102" customWidth="1"/>
    <col min="15110" max="15110" width="9.7109375" style="102" customWidth="1"/>
    <col min="15111" max="15111" width="9.85546875" style="102" customWidth="1"/>
    <col min="15112" max="15112" width="10.5703125" style="102" customWidth="1"/>
    <col min="15113" max="15113" width="10.85546875" style="102" customWidth="1"/>
    <col min="15114" max="15114" width="16.42578125" style="102" customWidth="1"/>
    <col min="15115" max="15360" width="9.140625" style="102"/>
    <col min="15361" max="15361" width="6.85546875" style="102" customWidth="1"/>
    <col min="15362" max="15362" width="11.5703125" style="102" customWidth="1"/>
    <col min="15363" max="15363" width="12.140625" style="102" customWidth="1"/>
    <col min="15364" max="15364" width="11" style="102" customWidth="1"/>
    <col min="15365" max="15365" width="11.7109375" style="102" customWidth="1"/>
    <col min="15366" max="15366" width="9.7109375" style="102" customWidth="1"/>
    <col min="15367" max="15367" width="9.85546875" style="102" customWidth="1"/>
    <col min="15368" max="15368" width="10.5703125" style="102" customWidth="1"/>
    <col min="15369" max="15369" width="10.85546875" style="102" customWidth="1"/>
    <col min="15370" max="15370" width="16.42578125" style="102" customWidth="1"/>
    <col min="15371" max="15616" width="9.140625" style="102"/>
    <col min="15617" max="15617" width="6.85546875" style="102" customWidth="1"/>
    <col min="15618" max="15618" width="11.5703125" style="102" customWidth="1"/>
    <col min="15619" max="15619" width="12.140625" style="102" customWidth="1"/>
    <col min="15620" max="15620" width="11" style="102" customWidth="1"/>
    <col min="15621" max="15621" width="11.7109375" style="102" customWidth="1"/>
    <col min="15622" max="15622" width="9.7109375" style="102" customWidth="1"/>
    <col min="15623" max="15623" width="9.85546875" style="102" customWidth="1"/>
    <col min="15624" max="15624" width="10.5703125" style="102" customWidth="1"/>
    <col min="15625" max="15625" width="10.85546875" style="102" customWidth="1"/>
    <col min="15626" max="15626" width="16.42578125" style="102" customWidth="1"/>
    <col min="15627" max="15872" width="9.140625" style="102"/>
    <col min="15873" max="15873" width="6.85546875" style="102" customWidth="1"/>
    <col min="15874" max="15874" width="11.5703125" style="102" customWidth="1"/>
    <col min="15875" max="15875" width="12.140625" style="102" customWidth="1"/>
    <col min="15876" max="15876" width="11" style="102" customWidth="1"/>
    <col min="15877" max="15877" width="11.7109375" style="102" customWidth="1"/>
    <col min="15878" max="15878" width="9.7109375" style="102" customWidth="1"/>
    <col min="15879" max="15879" width="9.85546875" style="102" customWidth="1"/>
    <col min="15880" max="15880" width="10.5703125" style="102" customWidth="1"/>
    <col min="15881" max="15881" width="10.85546875" style="102" customWidth="1"/>
    <col min="15882" max="15882" width="16.42578125" style="102" customWidth="1"/>
    <col min="15883" max="16128" width="9.140625" style="102"/>
    <col min="16129" max="16129" width="6.85546875" style="102" customWidth="1"/>
    <col min="16130" max="16130" width="11.5703125" style="102" customWidth="1"/>
    <col min="16131" max="16131" width="12.140625" style="102" customWidth="1"/>
    <col min="16132" max="16132" width="11" style="102" customWidth="1"/>
    <col min="16133" max="16133" width="11.7109375" style="102" customWidth="1"/>
    <col min="16134" max="16134" width="9.7109375" style="102" customWidth="1"/>
    <col min="16135" max="16135" width="9.85546875" style="102" customWidth="1"/>
    <col min="16136" max="16136" width="10.5703125" style="102" customWidth="1"/>
    <col min="16137" max="16137" width="10.85546875" style="102" customWidth="1"/>
    <col min="16138" max="16138" width="16.42578125" style="102" customWidth="1"/>
    <col min="16139" max="16384" width="9.140625" style="102"/>
  </cols>
  <sheetData>
    <row r="1" spans="1:12" ht="26.25" customHeight="1" x14ac:dyDescent="0.25">
      <c r="I1" s="3129" t="s">
        <v>1076</v>
      </c>
      <c r="J1" s="3129"/>
    </row>
    <row r="2" spans="1:12" s="1245" customFormat="1" ht="27.75" customHeight="1" x14ac:dyDescent="0.25">
      <c r="A2" s="3207" t="s">
        <v>2068</v>
      </c>
      <c r="B2" s="3207"/>
      <c r="C2" s="3207"/>
      <c r="D2" s="3207"/>
      <c r="E2" s="3207"/>
      <c r="F2" s="3207"/>
      <c r="G2" s="3207"/>
      <c r="H2" s="3207"/>
      <c r="I2" s="3207"/>
      <c r="J2" s="3207"/>
      <c r="K2" s="2334"/>
    </row>
    <row r="3" spans="1:12" s="1294" customFormat="1" ht="18" customHeight="1" x14ac:dyDescent="0.25">
      <c r="A3" s="3133" t="str">
        <f>'Phụ biểu số 01'!A3:W3</f>
        <v>(Kèm theo Quyết định số          /QĐ-UBND ngày          /4/2026 của UBND phường Bắc Kạn)</v>
      </c>
      <c r="B3" s="3133"/>
      <c r="C3" s="3133"/>
      <c r="D3" s="3133"/>
      <c r="E3" s="3133"/>
      <c r="F3" s="3133"/>
      <c r="G3" s="3133"/>
      <c r="H3" s="3133"/>
      <c r="I3" s="3133"/>
      <c r="J3" s="3133"/>
      <c r="K3" s="2335"/>
    </row>
    <row r="4" spans="1:12" ht="24" customHeight="1" x14ac:dyDescent="0.25">
      <c r="H4" s="3345" t="s">
        <v>982</v>
      </c>
      <c r="I4" s="3345"/>
      <c r="J4" s="3345"/>
    </row>
    <row r="5" spans="1:12" ht="30" customHeight="1" x14ac:dyDescent="0.25">
      <c r="A5" s="3134" t="s">
        <v>0</v>
      </c>
      <c r="B5" s="3134" t="s">
        <v>399</v>
      </c>
      <c r="C5" s="3135" t="s">
        <v>1077</v>
      </c>
      <c r="D5" s="3346" t="s">
        <v>1100</v>
      </c>
      <c r="E5" s="3346"/>
      <c r="F5" s="3135" t="s">
        <v>1078</v>
      </c>
      <c r="G5" s="3347" t="s">
        <v>49</v>
      </c>
      <c r="H5" s="3347"/>
      <c r="I5" s="3347"/>
      <c r="J5" s="3134" t="s">
        <v>1079</v>
      </c>
    </row>
    <row r="6" spans="1:12" ht="30" customHeight="1" x14ac:dyDescent="0.25">
      <c r="A6" s="3134"/>
      <c r="B6" s="3134"/>
      <c r="C6" s="3135"/>
      <c r="D6" s="3349" t="s">
        <v>1080</v>
      </c>
      <c r="E6" s="3349" t="s">
        <v>1081</v>
      </c>
      <c r="F6" s="3135"/>
      <c r="G6" s="3349" t="s">
        <v>136</v>
      </c>
      <c r="H6" s="3349" t="s">
        <v>1082</v>
      </c>
      <c r="I6" s="3294" t="s">
        <v>422</v>
      </c>
      <c r="J6" s="3134"/>
    </row>
    <row r="7" spans="1:12" ht="63" customHeight="1" x14ac:dyDescent="0.25">
      <c r="A7" s="3134"/>
      <c r="B7" s="3134"/>
      <c r="C7" s="3135"/>
      <c r="D7" s="3349"/>
      <c r="E7" s="3349"/>
      <c r="F7" s="3135"/>
      <c r="G7" s="3349"/>
      <c r="H7" s="3349"/>
      <c r="I7" s="3294"/>
      <c r="J7" s="3134"/>
      <c r="K7" s="2050">
        <f>F9-G9-H9</f>
        <v>1075999.4620000005</v>
      </c>
    </row>
    <row r="8" spans="1:12" s="2348" customFormat="1" ht="23.25" customHeight="1" x14ac:dyDescent="0.25">
      <c r="A8" s="2346" t="s">
        <v>3</v>
      </c>
      <c r="B8" s="1630" t="s">
        <v>4</v>
      </c>
      <c r="C8" s="2347">
        <v>1</v>
      </c>
      <c r="D8" s="2346">
        <v>2</v>
      </c>
      <c r="E8" s="1630">
        <v>3</v>
      </c>
      <c r="F8" s="2346" t="s">
        <v>1083</v>
      </c>
      <c r="G8" s="2346">
        <v>5</v>
      </c>
      <c r="H8" s="2346">
        <v>6</v>
      </c>
      <c r="I8" s="2346">
        <v>7</v>
      </c>
      <c r="J8" s="2346" t="s">
        <v>2067</v>
      </c>
    </row>
    <row r="9" spans="1:12" ht="26.25" customHeight="1" x14ac:dyDescent="0.25">
      <c r="A9" s="2044"/>
      <c r="B9" s="1443" t="s">
        <v>511</v>
      </c>
      <c r="C9" s="2337">
        <f>SUM(C10:C33)+C40+C47+C54</f>
        <v>95401148.932000011</v>
      </c>
      <c r="D9" s="2337">
        <f>SUM(D10:D33)+D40+D47+D54</f>
        <v>82458976.862000003</v>
      </c>
      <c r="E9" s="2342"/>
      <c r="F9" s="2337">
        <f>SUM(F10:F33)+F40+F47+F54</f>
        <v>12494569.07</v>
      </c>
      <c r="G9" s="2337">
        <f>SUM(G10:G33)+G40+G47+G54</f>
        <v>11164816.26</v>
      </c>
      <c r="H9" s="2337">
        <f>SUM(H10:H33)+H40+H47+H54</f>
        <v>253753.348</v>
      </c>
      <c r="I9" s="2337">
        <f>SUM(I10:I33)+I40+I47+I54</f>
        <v>1075999.4619999998</v>
      </c>
      <c r="J9" s="2044"/>
      <c r="K9" s="2050">
        <v>82458976.862000003</v>
      </c>
      <c r="L9" s="2332">
        <f>D9-K9</f>
        <v>0</v>
      </c>
    </row>
    <row r="10" spans="1:12" s="10" customFormat="1" ht="140.25" customHeight="1" x14ac:dyDescent="0.25">
      <c r="A10" s="1379">
        <v>1</v>
      </c>
      <c r="B10" s="619" t="s">
        <v>2035</v>
      </c>
      <c r="C10" s="2777">
        <v>14278361</v>
      </c>
      <c r="D10" s="1541">
        <f>C10</f>
        <v>14278361</v>
      </c>
      <c r="E10" s="2674" t="s">
        <v>663</v>
      </c>
      <c r="F10" s="1541"/>
      <c r="G10" s="1541"/>
      <c r="H10" s="1541"/>
      <c r="I10" s="1444"/>
      <c r="J10" s="245" t="s">
        <v>2259</v>
      </c>
      <c r="K10" s="2321"/>
    </row>
    <row r="11" spans="1:12" s="10" customFormat="1" ht="143.25" customHeight="1" x14ac:dyDescent="0.25">
      <c r="A11" s="1379">
        <v>2</v>
      </c>
      <c r="B11" s="619" t="s">
        <v>2036</v>
      </c>
      <c r="C11" s="2777">
        <v>1500000</v>
      </c>
      <c r="D11" s="1541">
        <f t="shared" ref="D11:D28" si="0">C11</f>
        <v>1500000</v>
      </c>
      <c r="E11" s="2674" t="s">
        <v>663</v>
      </c>
      <c r="F11" s="1541"/>
      <c r="G11" s="1541"/>
      <c r="H11" s="1541"/>
      <c r="I11" s="1444"/>
      <c r="J11" s="245" t="s">
        <v>2258</v>
      </c>
      <c r="K11" s="2321"/>
    </row>
    <row r="12" spans="1:12" s="10" customFormat="1" ht="156" customHeight="1" x14ac:dyDescent="0.25">
      <c r="A12" s="1379">
        <v>3</v>
      </c>
      <c r="B12" s="619" t="s">
        <v>2037</v>
      </c>
      <c r="C12" s="2777">
        <f>2269400+30000</f>
        <v>2299400</v>
      </c>
      <c r="D12" s="1541">
        <f>'51_NĐ31'!D87</f>
        <v>2298700</v>
      </c>
      <c r="E12" s="2674" t="s">
        <v>2053</v>
      </c>
      <c r="F12" s="1541">
        <f>C12-D12</f>
        <v>700</v>
      </c>
      <c r="G12" s="1541"/>
      <c r="H12" s="1541">
        <f>C12-D12</f>
        <v>700</v>
      </c>
      <c r="I12" s="1444"/>
      <c r="J12" s="245" t="s">
        <v>2212</v>
      </c>
      <c r="K12" s="2321"/>
    </row>
    <row r="13" spans="1:12" s="10" customFormat="1" ht="145.5" customHeight="1" x14ac:dyDescent="0.25">
      <c r="A13" s="1379">
        <v>4</v>
      </c>
      <c r="B13" s="619" t="s">
        <v>2038</v>
      </c>
      <c r="C13" s="2777">
        <v>22095652.453000002</v>
      </c>
      <c r="D13" s="1541">
        <f t="shared" si="0"/>
        <v>22095652.453000002</v>
      </c>
      <c r="E13" s="2674" t="s">
        <v>663</v>
      </c>
      <c r="F13" s="1541"/>
      <c r="G13" s="1541"/>
      <c r="H13" s="1541"/>
      <c r="I13" s="1444"/>
      <c r="J13" s="245" t="s">
        <v>2052</v>
      </c>
      <c r="K13" s="2321"/>
    </row>
    <row r="14" spans="1:12" s="10" customFormat="1" ht="136.5" customHeight="1" x14ac:dyDescent="0.25">
      <c r="A14" s="1379">
        <v>5</v>
      </c>
      <c r="B14" s="619" t="s">
        <v>2039</v>
      </c>
      <c r="C14" s="2777">
        <v>5793053.7019999996</v>
      </c>
      <c r="D14" s="1541">
        <f t="shared" si="0"/>
        <v>5793053.7019999996</v>
      </c>
      <c r="E14" s="2674" t="s">
        <v>663</v>
      </c>
      <c r="F14" s="1541"/>
      <c r="G14" s="1541"/>
      <c r="H14" s="1541"/>
      <c r="I14" s="1444"/>
      <c r="J14" s="245" t="s">
        <v>2257</v>
      </c>
      <c r="K14" s="2321"/>
    </row>
    <row r="15" spans="1:12" s="10" customFormat="1" ht="165.75" customHeight="1" x14ac:dyDescent="0.25">
      <c r="A15" s="1379">
        <v>6</v>
      </c>
      <c r="B15" s="619" t="s">
        <v>2066</v>
      </c>
      <c r="C15" s="2777">
        <v>1500000</v>
      </c>
      <c r="D15" s="2778">
        <f>C15-32557.645</f>
        <v>1467442.355</v>
      </c>
      <c r="E15" s="2674" t="s">
        <v>663</v>
      </c>
      <c r="F15" s="1541">
        <f>C15-D15</f>
        <v>32557.645000000019</v>
      </c>
      <c r="G15" s="1541"/>
      <c r="H15" s="1541">
        <f>C15-D15</f>
        <v>32557.645000000019</v>
      </c>
      <c r="I15" s="1444"/>
      <c r="J15" s="245" t="s">
        <v>2211</v>
      </c>
      <c r="K15" s="2321"/>
    </row>
    <row r="16" spans="1:12" s="10" customFormat="1" ht="136.5" customHeight="1" x14ac:dyDescent="0.25">
      <c r="A16" s="1379">
        <v>7</v>
      </c>
      <c r="B16" s="619" t="s">
        <v>2040</v>
      </c>
      <c r="C16" s="2777">
        <v>6950470</v>
      </c>
      <c r="D16" s="1541">
        <f t="shared" si="0"/>
        <v>6950470</v>
      </c>
      <c r="E16" s="2674" t="s">
        <v>663</v>
      </c>
      <c r="F16" s="1541"/>
      <c r="G16" s="1541"/>
      <c r="H16" s="1541"/>
      <c r="I16" s="1444"/>
      <c r="J16" s="245" t="s">
        <v>2262</v>
      </c>
      <c r="K16" s="2321"/>
    </row>
    <row r="17" spans="1:11" s="10" customFormat="1" ht="167.25" customHeight="1" x14ac:dyDescent="0.25">
      <c r="A17" s="1379">
        <v>8</v>
      </c>
      <c r="B17" s="619" t="s">
        <v>2041</v>
      </c>
      <c r="C17" s="2777">
        <v>5502921.8609999996</v>
      </c>
      <c r="D17" s="1541">
        <f t="shared" si="0"/>
        <v>5502921.8609999996</v>
      </c>
      <c r="E17" s="2674" t="s">
        <v>663</v>
      </c>
      <c r="F17" s="1541"/>
      <c r="G17" s="1541"/>
      <c r="H17" s="1541"/>
      <c r="I17" s="1444"/>
      <c r="J17" s="245" t="s">
        <v>2255</v>
      </c>
      <c r="K17" s="2321"/>
    </row>
    <row r="18" spans="1:11" s="10" customFormat="1" ht="156.75" customHeight="1" x14ac:dyDescent="0.25">
      <c r="A18" s="1379">
        <v>9</v>
      </c>
      <c r="B18" s="619" t="s">
        <v>2042</v>
      </c>
      <c r="C18" s="2777">
        <v>4500000</v>
      </c>
      <c r="D18" s="1541">
        <f t="shared" si="0"/>
        <v>4500000</v>
      </c>
      <c r="E18" s="2674" t="s">
        <v>76</v>
      </c>
      <c r="F18" s="1541"/>
      <c r="G18" s="1541"/>
      <c r="H18" s="1541"/>
      <c r="I18" s="1444"/>
      <c r="J18" s="245" t="s">
        <v>2256</v>
      </c>
      <c r="K18" s="2321"/>
    </row>
    <row r="19" spans="1:11" s="10" customFormat="1" ht="93.75" customHeight="1" x14ac:dyDescent="0.25">
      <c r="A19" s="1379">
        <v>10</v>
      </c>
      <c r="B19" s="619" t="s">
        <v>2043</v>
      </c>
      <c r="C19" s="2777">
        <v>2510000</v>
      </c>
      <c r="D19" s="1541">
        <f t="shared" si="0"/>
        <v>2510000</v>
      </c>
      <c r="E19" s="2674" t="s">
        <v>663</v>
      </c>
      <c r="F19" s="1541"/>
      <c r="G19" s="1541"/>
      <c r="H19" s="1541"/>
      <c r="I19" s="1444"/>
      <c r="J19" s="245" t="s">
        <v>2261</v>
      </c>
      <c r="K19" s="2321"/>
    </row>
    <row r="20" spans="1:11" s="10" customFormat="1" ht="148.5" customHeight="1" x14ac:dyDescent="0.25">
      <c r="A20" s="1379">
        <v>11</v>
      </c>
      <c r="B20" s="619" t="s">
        <v>2044</v>
      </c>
      <c r="C20" s="2777">
        <v>301000</v>
      </c>
      <c r="D20" s="2778">
        <f>243075+19350</f>
        <v>262425</v>
      </c>
      <c r="E20" s="2674" t="s">
        <v>76</v>
      </c>
      <c r="F20" s="1541">
        <f>C20-D20</f>
        <v>38575</v>
      </c>
      <c r="G20" s="1541"/>
      <c r="H20" s="1541">
        <f>C20-D20</f>
        <v>38575</v>
      </c>
      <c r="I20" s="1444"/>
      <c r="J20" s="245" t="s">
        <v>2210</v>
      </c>
      <c r="K20" s="2321"/>
    </row>
    <row r="21" spans="1:11" s="10" customFormat="1" ht="105.75" customHeight="1" x14ac:dyDescent="0.25">
      <c r="A21" s="1379">
        <v>12</v>
      </c>
      <c r="B21" s="619" t="s">
        <v>2045</v>
      </c>
      <c r="C21" s="2777">
        <v>690000</v>
      </c>
      <c r="D21" s="1541">
        <f t="shared" si="0"/>
        <v>690000</v>
      </c>
      <c r="E21" s="2674" t="s">
        <v>2053</v>
      </c>
      <c r="F21" s="1541"/>
      <c r="G21" s="1541"/>
      <c r="H21" s="1541"/>
      <c r="I21" s="1444"/>
      <c r="J21" s="245" t="s">
        <v>2254</v>
      </c>
      <c r="K21" s="2321"/>
    </row>
    <row r="22" spans="1:11" s="10" customFormat="1" ht="110.25" customHeight="1" x14ac:dyDescent="0.25">
      <c r="A22" s="1379">
        <v>13</v>
      </c>
      <c r="B22" s="619" t="s">
        <v>2046</v>
      </c>
      <c r="C22" s="2777">
        <v>1842607.5</v>
      </c>
      <c r="D22" s="1541">
        <f t="shared" si="0"/>
        <v>1842607.5</v>
      </c>
      <c r="E22" s="2674" t="s">
        <v>663</v>
      </c>
      <c r="F22" s="1541"/>
      <c r="G22" s="1541"/>
      <c r="H22" s="1541"/>
      <c r="I22" s="1444"/>
      <c r="J22" s="245" t="s">
        <v>2260</v>
      </c>
      <c r="K22" s="2321"/>
    </row>
    <row r="23" spans="1:11" s="10" customFormat="1" ht="159" customHeight="1" x14ac:dyDescent="0.25">
      <c r="A23" s="1379">
        <v>14</v>
      </c>
      <c r="B23" s="619" t="s">
        <v>2047</v>
      </c>
      <c r="C23" s="2777">
        <v>525798</v>
      </c>
      <c r="D23" s="1541">
        <f t="shared" si="0"/>
        <v>525798</v>
      </c>
      <c r="E23" s="2674" t="s">
        <v>663</v>
      </c>
      <c r="F23" s="1541"/>
      <c r="G23" s="1541"/>
      <c r="H23" s="1541"/>
      <c r="I23" s="1444"/>
      <c r="J23" s="245" t="s">
        <v>2253</v>
      </c>
      <c r="K23" s="2321"/>
    </row>
    <row r="24" spans="1:11" s="10" customFormat="1" ht="163.5" customHeight="1" x14ac:dyDescent="0.25">
      <c r="A24" s="1379">
        <v>15</v>
      </c>
      <c r="B24" s="619" t="s">
        <v>2048</v>
      </c>
      <c r="C24" s="2777">
        <v>367200</v>
      </c>
      <c r="D24" s="1541">
        <v>362000</v>
      </c>
      <c r="E24" s="2674" t="s">
        <v>2053</v>
      </c>
      <c r="F24" s="1541">
        <f>C24-D24</f>
        <v>5200</v>
      </c>
      <c r="G24" s="1541"/>
      <c r="H24" s="1541">
        <v>5200</v>
      </c>
      <c r="I24" s="1444"/>
      <c r="J24" s="245" t="s">
        <v>2209</v>
      </c>
      <c r="K24" s="2321"/>
    </row>
    <row r="25" spans="1:11" s="10" customFormat="1" ht="140.25" customHeight="1" x14ac:dyDescent="0.25">
      <c r="A25" s="1379">
        <v>16</v>
      </c>
      <c r="B25" s="619" t="s">
        <v>2049</v>
      </c>
      <c r="C25" s="2777">
        <v>3718000</v>
      </c>
      <c r="D25" s="1541"/>
      <c r="E25" s="2674"/>
      <c r="F25" s="1541">
        <f>C25</f>
        <v>3718000</v>
      </c>
      <c r="G25" s="1541">
        <f>F25</f>
        <v>3718000</v>
      </c>
      <c r="H25" s="1541"/>
      <c r="I25" s="1444"/>
      <c r="J25" s="245" t="s">
        <v>2263</v>
      </c>
      <c r="K25" s="2321"/>
    </row>
    <row r="26" spans="1:11" s="10" customFormat="1" ht="113.25" customHeight="1" x14ac:dyDescent="0.25">
      <c r="A26" s="1379">
        <v>17</v>
      </c>
      <c r="B26" s="619" t="s">
        <v>2245</v>
      </c>
      <c r="C26" s="2777">
        <v>8104000</v>
      </c>
      <c r="D26" s="2779">
        <v>8104000</v>
      </c>
      <c r="E26" s="2674" t="s">
        <v>2055</v>
      </c>
      <c r="F26" s="2787">
        <f>C26-D26</f>
        <v>0</v>
      </c>
      <c r="G26" s="2787">
        <f>F26</f>
        <v>0</v>
      </c>
      <c r="H26" s="1541"/>
      <c r="I26" s="1444"/>
      <c r="J26" s="245" t="s">
        <v>2250</v>
      </c>
      <c r="K26" s="2321"/>
    </row>
    <row r="27" spans="1:11" s="10" customFormat="1" ht="108" customHeight="1" x14ac:dyDescent="0.25">
      <c r="A27" s="1379">
        <v>18</v>
      </c>
      <c r="B27" s="619" t="s">
        <v>2246</v>
      </c>
      <c r="C27" s="2777">
        <f>1852000-30000</f>
        <v>1822000</v>
      </c>
      <c r="D27" s="1541">
        <v>1374397</v>
      </c>
      <c r="E27" s="2674" t="s">
        <v>2054</v>
      </c>
      <c r="F27" s="1541"/>
      <c r="G27" s="1541"/>
      <c r="H27" s="1541"/>
      <c r="I27" s="1444"/>
      <c r="J27" s="245" t="s">
        <v>2282</v>
      </c>
      <c r="K27" s="2321"/>
    </row>
    <row r="28" spans="1:11" s="10" customFormat="1" ht="126" customHeight="1" x14ac:dyDescent="0.25">
      <c r="A28" s="1379">
        <v>19</v>
      </c>
      <c r="B28" s="619" t="s">
        <v>2050</v>
      </c>
      <c r="C28" s="2777">
        <v>197800</v>
      </c>
      <c r="D28" s="1541">
        <f t="shared" si="0"/>
        <v>197800</v>
      </c>
      <c r="E28" s="2674" t="s">
        <v>663</v>
      </c>
      <c r="F28" s="1541"/>
      <c r="G28" s="1541"/>
      <c r="H28" s="1541"/>
      <c r="I28" s="1444"/>
      <c r="J28" s="245" t="s">
        <v>2251</v>
      </c>
      <c r="K28" s="2321"/>
    </row>
    <row r="29" spans="1:11" s="10" customFormat="1" ht="97.5" customHeight="1" x14ac:dyDescent="0.25">
      <c r="A29" s="1379">
        <v>20</v>
      </c>
      <c r="B29" s="619" t="s">
        <v>2051</v>
      </c>
      <c r="C29" s="2777">
        <v>5000000</v>
      </c>
      <c r="D29" s="1541"/>
      <c r="E29" s="2674"/>
      <c r="F29" s="1541">
        <f>C29</f>
        <v>5000000</v>
      </c>
      <c r="G29" s="1541">
        <f>F29</f>
        <v>5000000</v>
      </c>
      <c r="H29" s="1541"/>
      <c r="I29" s="1444"/>
      <c r="J29" s="245" t="s">
        <v>2252</v>
      </c>
      <c r="K29" s="2321"/>
    </row>
    <row r="30" spans="1:11" s="10" customFormat="1" ht="129" customHeight="1" x14ac:dyDescent="0.25">
      <c r="A30" s="1379">
        <v>21</v>
      </c>
      <c r="B30" s="619" t="s">
        <v>1397</v>
      </c>
      <c r="C30" s="2778">
        <v>452000</v>
      </c>
      <c r="D30" s="2778">
        <v>276189.29700000002</v>
      </c>
      <c r="E30" s="2674" t="s">
        <v>76</v>
      </c>
      <c r="F30" s="1541">
        <f>C30-D30</f>
        <v>175810.70299999998</v>
      </c>
      <c r="G30" s="1541"/>
      <c r="H30" s="1541">
        <f>F30</f>
        <v>175810.70299999998</v>
      </c>
      <c r="I30" s="1444"/>
      <c r="J30" s="245" t="s">
        <v>2208</v>
      </c>
      <c r="K30" s="2321"/>
    </row>
    <row r="31" spans="1:11" s="10" customFormat="1" ht="144.75" customHeight="1" x14ac:dyDescent="0.25">
      <c r="A31" s="1379">
        <v>22</v>
      </c>
      <c r="B31" s="619" t="s">
        <v>1398</v>
      </c>
      <c r="C31" s="2778">
        <v>140000</v>
      </c>
      <c r="D31" s="2778">
        <v>139090</v>
      </c>
      <c r="E31" s="2674" t="s">
        <v>2057</v>
      </c>
      <c r="F31" s="1541">
        <f t="shared" ref="F31" si="1">C31-D31</f>
        <v>910</v>
      </c>
      <c r="G31" s="1541"/>
      <c r="H31" s="1541">
        <f>F31</f>
        <v>910</v>
      </c>
      <c r="I31" s="1444"/>
      <c r="J31" s="245" t="s">
        <v>2208</v>
      </c>
      <c r="K31" s="2321"/>
    </row>
    <row r="32" spans="1:11" s="10" customFormat="1" ht="55.5" customHeight="1" x14ac:dyDescent="0.25">
      <c r="A32" s="1379">
        <v>23</v>
      </c>
      <c r="B32" s="2780" t="s">
        <v>645</v>
      </c>
      <c r="C32" s="2778">
        <v>327000</v>
      </c>
      <c r="D32" s="2778">
        <v>327000</v>
      </c>
      <c r="E32" s="2674" t="s">
        <v>76</v>
      </c>
      <c r="F32" s="1541"/>
      <c r="G32" s="1541"/>
      <c r="H32" s="1541"/>
      <c r="I32" s="1444"/>
      <c r="J32" s="245"/>
      <c r="K32" s="2321"/>
    </row>
    <row r="33" spans="1:13" s="10" customFormat="1" ht="60.75" customHeight="1" x14ac:dyDescent="0.25">
      <c r="A33" s="1379">
        <v>24</v>
      </c>
      <c r="B33" s="2320" t="s">
        <v>2058</v>
      </c>
      <c r="C33" s="2338">
        <f>C34+C37</f>
        <v>2003896.9569999999</v>
      </c>
      <c r="D33" s="2338">
        <f>D34+D37</f>
        <v>265610</v>
      </c>
      <c r="E33" s="2788">
        <f t="shared" ref="E33:F33" si="2">E34+E37</f>
        <v>0</v>
      </c>
      <c r="F33" s="2338">
        <f t="shared" si="2"/>
        <v>1738286.9569999999</v>
      </c>
      <c r="G33" s="2338">
        <f t="shared" ref="G33" si="3">G34+G37</f>
        <v>1360117.56</v>
      </c>
      <c r="H33" s="2338"/>
      <c r="I33" s="2338">
        <f t="shared" ref="I33" si="4">I34+I37</f>
        <v>378169.39699999994</v>
      </c>
      <c r="J33" s="245" t="s">
        <v>2264</v>
      </c>
      <c r="K33" s="2321">
        <f>G33+G40+G47</f>
        <v>2446816.2599999998</v>
      </c>
      <c r="L33" s="2328">
        <f>H33+H40+H47</f>
        <v>0</v>
      </c>
      <c r="M33" s="2328">
        <f>D33+D40+D47+D54</f>
        <v>1461068.6939999999</v>
      </c>
    </row>
    <row r="34" spans="1:13" s="10" customFormat="1" ht="36" customHeight="1" x14ac:dyDescent="0.25">
      <c r="A34" s="1379" t="s">
        <v>1000</v>
      </c>
      <c r="B34" s="619" t="s">
        <v>2063</v>
      </c>
      <c r="C34" s="2338">
        <f>C35+C36</f>
        <v>131656.95699999999</v>
      </c>
      <c r="D34" s="2786">
        <f>D35+D36</f>
        <v>0</v>
      </c>
      <c r="E34" s="2786">
        <f t="shared" ref="E34:F34" si="5">E35+E36</f>
        <v>0</v>
      </c>
      <c r="F34" s="2338">
        <f t="shared" si="5"/>
        <v>131656.95699999999</v>
      </c>
      <c r="G34" s="2786">
        <f t="shared" ref="G34" si="6">G35+G36</f>
        <v>0</v>
      </c>
      <c r="H34" s="2338"/>
      <c r="I34" s="2338">
        <f t="shared" ref="I34" si="7">I35+I36</f>
        <v>131656.95699999999</v>
      </c>
      <c r="J34" s="245"/>
      <c r="K34" s="2321">
        <f>D33+D40+D47+D54</f>
        <v>1461068.6939999999</v>
      </c>
    </row>
    <row r="35" spans="1:13" s="10" customFormat="1" ht="19.5" customHeight="1" x14ac:dyDescent="0.25">
      <c r="A35" s="1379"/>
      <c r="B35" s="2330" t="s">
        <v>2059</v>
      </c>
      <c r="C35" s="2339">
        <v>131656.95699999999</v>
      </c>
      <c r="D35" s="2781"/>
      <c r="E35" s="116"/>
      <c r="F35" s="2345">
        <f>C35-D35</f>
        <v>131656.95699999999</v>
      </c>
      <c r="G35" s="2345"/>
      <c r="H35" s="2345"/>
      <c r="I35" s="1541">
        <f>F35</f>
        <v>131656.95699999999</v>
      </c>
      <c r="J35" s="245"/>
      <c r="K35" s="2321"/>
    </row>
    <row r="36" spans="1:13" s="10" customFormat="1" ht="19.5" customHeight="1" x14ac:dyDescent="0.25">
      <c r="A36" s="1379"/>
      <c r="B36" s="2330" t="s">
        <v>2060</v>
      </c>
      <c r="C36" s="2339"/>
      <c r="D36" s="2781"/>
      <c r="E36" s="116"/>
      <c r="F36" s="2345"/>
      <c r="G36" s="2345"/>
      <c r="H36" s="2345"/>
      <c r="I36" s="1444"/>
      <c r="J36" s="245"/>
      <c r="K36" s="2321"/>
    </row>
    <row r="37" spans="1:13" s="10" customFormat="1" ht="19.5" customHeight="1" x14ac:dyDescent="0.25">
      <c r="A37" s="1379" t="s">
        <v>1000</v>
      </c>
      <c r="B37" s="619" t="s">
        <v>2064</v>
      </c>
      <c r="C37" s="2339">
        <f>C38+C39</f>
        <v>1872240</v>
      </c>
      <c r="D37" s="2339">
        <f>D38+D39</f>
        <v>265610</v>
      </c>
      <c r="E37" s="2784">
        <f t="shared" ref="E37:I37" si="8">E38+E39</f>
        <v>0</v>
      </c>
      <c r="F37" s="2339">
        <f t="shared" si="8"/>
        <v>1606630</v>
      </c>
      <c r="G37" s="2339">
        <f t="shared" si="8"/>
        <v>1360117.56</v>
      </c>
      <c r="H37" s="2339"/>
      <c r="I37" s="2339">
        <f t="shared" si="8"/>
        <v>246512.43999999994</v>
      </c>
      <c r="J37" s="245"/>
      <c r="K37" s="2321"/>
    </row>
    <row r="38" spans="1:13" s="10" customFormat="1" ht="19.5" customHeight="1" x14ac:dyDescent="0.25">
      <c r="A38" s="1379"/>
      <c r="B38" s="2330" t="s">
        <v>2059</v>
      </c>
      <c r="C38" s="2339">
        <v>1811240</v>
      </c>
      <c r="D38" s="2781">
        <f>190000+49000+13879.5</f>
        <v>252879.5</v>
      </c>
      <c r="E38" s="2785"/>
      <c r="F38" s="2345">
        <f>C38-D38</f>
        <v>1558360.5</v>
      </c>
      <c r="G38" s="2345">
        <f>1254360.5+49000+12487.56</f>
        <v>1315848.06</v>
      </c>
      <c r="H38" s="2345"/>
      <c r="I38" s="1541">
        <f>F38-G38</f>
        <v>242512.43999999994</v>
      </c>
      <c r="J38" s="245"/>
      <c r="K38" s="2321"/>
    </row>
    <row r="39" spans="1:13" s="10" customFormat="1" ht="19.5" customHeight="1" x14ac:dyDescent="0.25">
      <c r="A39" s="1379"/>
      <c r="B39" s="2330" t="s">
        <v>2060</v>
      </c>
      <c r="C39" s="2339">
        <v>61000</v>
      </c>
      <c r="D39" s="2781">
        <f>10000+2000+730.5</f>
        <v>12730.5</v>
      </c>
      <c r="E39" s="2785"/>
      <c r="F39" s="2345">
        <f t="shared" ref="F39:F60" si="9">C39-D39</f>
        <v>48269.5</v>
      </c>
      <c r="G39" s="2345">
        <f>39269.5+5000</f>
        <v>44269.5</v>
      </c>
      <c r="H39" s="2345"/>
      <c r="I39" s="1541">
        <f>F39-G39</f>
        <v>4000</v>
      </c>
      <c r="J39" s="245"/>
      <c r="K39" s="2321"/>
    </row>
    <row r="40" spans="1:13" s="10" customFormat="1" ht="53.25" customHeight="1" x14ac:dyDescent="0.25">
      <c r="A40" s="1379">
        <v>25</v>
      </c>
      <c r="B40" s="2331" t="s">
        <v>2061</v>
      </c>
      <c r="C40" s="2338">
        <f>C41+C44</f>
        <v>2067414.9879999999</v>
      </c>
      <c r="D40" s="2338">
        <f>D41+D44</f>
        <v>723504.32000000007</v>
      </c>
      <c r="E40" s="2786"/>
      <c r="F40" s="2338">
        <f>F41+F44</f>
        <v>1343910.6679999998</v>
      </c>
      <c r="G40" s="2338">
        <f>G41+G44</f>
        <v>903128.7</v>
      </c>
      <c r="H40" s="2338"/>
      <c r="I40" s="2338">
        <f>I41+I44</f>
        <v>440781.96799999994</v>
      </c>
      <c r="J40" s="245" t="s">
        <v>2264</v>
      </c>
      <c r="K40" s="2321"/>
    </row>
    <row r="41" spans="1:13" s="10" customFormat="1" ht="35.25" customHeight="1" x14ac:dyDescent="0.25">
      <c r="A41" s="1379" t="s">
        <v>1000</v>
      </c>
      <c r="B41" s="619" t="s">
        <v>2063</v>
      </c>
      <c r="C41" s="2338">
        <f>C42+C43</f>
        <v>732554.98800000001</v>
      </c>
      <c r="D41" s="2338">
        <f>D42+D43</f>
        <v>303630.2</v>
      </c>
      <c r="E41" s="2786">
        <f t="shared" ref="E41" si="10">E42+E43</f>
        <v>0</v>
      </c>
      <c r="F41" s="2338">
        <f>F42+F43</f>
        <v>428924.78799999994</v>
      </c>
      <c r="G41" s="2786">
        <f>G42+G43</f>
        <v>0</v>
      </c>
      <c r="H41" s="2338"/>
      <c r="I41" s="2338">
        <f>I42+I43</f>
        <v>428924.78799999994</v>
      </c>
      <c r="J41" s="245"/>
      <c r="K41" s="2321"/>
    </row>
    <row r="42" spans="1:13" s="10" customFormat="1" ht="19.5" customHeight="1" x14ac:dyDescent="0.25">
      <c r="A42" s="1379"/>
      <c r="B42" s="2330" t="s">
        <v>2059</v>
      </c>
      <c r="C42" s="2339">
        <f>693864.188</f>
        <v>693864.18799999997</v>
      </c>
      <c r="D42" s="2781">
        <f>266700+35280</f>
        <v>301980</v>
      </c>
      <c r="E42" s="2785"/>
      <c r="F42" s="2345">
        <f t="shared" si="9"/>
        <v>391884.18799999997</v>
      </c>
      <c r="G42" s="2345"/>
      <c r="H42" s="2345"/>
      <c r="I42" s="1541">
        <f>F42</f>
        <v>391884.18799999997</v>
      </c>
      <c r="J42" s="245"/>
      <c r="K42" s="2321"/>
    </row>
    <row r="43" spans="1:13" s="10" customFormat="1" ht="19.5" customHeight="1" x14ac:dyDescent="0.25">
      <c r="A43" s="1379"/>
      <c r="B43" s="2330" t="s">
        <v>2060</v>
      </c>
      <c r="C43" s="2339">
        <f>38690.8</f>
        <v>38690.800000000003</v>
      </c>
      <c r="D43" s="2781">
        <v>1650.2</v>
      </c>
      <c r="E43" s="2785"/>
      <c r="F43" s="2345">
        <f t="shared" si="9"/>
        <v>37040.600000000006</v>
      </c>
      <c r="G43" s="2345"/>
      <c r="H43" s="2345"/>
      <c r="I43" s="1541">
        <f>F43</f>
        <v>37040.600000000006</v>
      </c>
      <c r="J43" s="245"/>
      <c r="K43" s="2321"/>
    </row>
    <row r="44" spans="1:13" s="10" customFormat="1" ht="19.5" customHeight="1" x14ac:dyDescent="0.25">
      <c r="A44" s="1379" t="s">
        <v>1000</v>
      </c>
      <c r="B44" s="619" t="s">
        <v>2064</v>
      </c>
      <c r="C44" s="2339">
        <f>C45+C46</f>
        <v>1334860</v>
      </c>
      <c r="D44" s="2339">
        <f>D45+D46</f>
        <v>419874.12</v>
      </c>
      <c r="E44" s="2784">
        <f t="shared" ref="E44:I44" si="11">E45+E46</f>
        <v>0</v>
      </c>
      <c r="F44" s="2339">
        <f t="shared" si="11"/>
        <v>914985.87999999989</v>
      </c>
      <c r="G44" s="2339">
        <f t="shared" si="11"/>
        <v>903128.7</v>
      </c>
      <c r="H44" s="2339"/>
      <c r="I44" s="2339">
        <f t="shared" si="11"/>
        <v>11857.18</v>
      </c>
      <c r="J44" s="245"/>
      <c r="K44" s="2321"/>
    </row>
    <row r="45" spans="1:13" s="10" customFormat="1" ht="19.5" customHeight="1" x14ac:dyDescent="0.25">
      <c r="A45" s="1379"/>
      <c r="B45" s="2330" t="s">
        <v>2059</v>
      </c>
      <c r="C45" s="2339">
        <v>1299860</v>
      </c>
      <c r="D45" s="2781">
        <f>141427.76+50000+177000+26063.3+14000</f>
        <v>408491.06</v>
      </c>
      <c r="E45" s="2785"/>
      <c r="F45" s="2345">
        <f t="shared" si="9"/>
        <v>891368.94</v>
      </c>
      <c r="G45" s="2345">
        <v>879511.75999999989</v>
      </c>
      <c r="H45" s="2345"/>
      <c r="I45" s="2345">
        <f>10110+248.5+500+998.68</f>
        <v>11857.18</v>
      </c>
      <c r="J45" s="245"/>
      <c r="K45" s="2321"/>
    </row>
    <row r="46" spans="1:13" s="10" customFormat="1" ht="19.5" customHeight="1" x14ac:dyDescent="0.25">
      <c r="A46" s="1379"/>
      <c r="B46" s="2330" t="s">
        <v>2060</v>
      </c>
      <c r="C46" s="2339">
        <v>35000</v>
      </c>
      <c r="D46" s="2781">
        <f>4381.74+401.32+1600+5000</f>
        <v>11383.06</v>
      </c>
      <c r="E46" s="2785"/>
      <c r="F46" s="2345">
        <f t="shared" si="9"/>
        <v>23616.940000000002</v>
      </c>
      <c r="G46" s="2345">
        <f>F46</f>
        <v>23616.940000000002</v>
      </c>
      <c r="H46" s="2345"/>
      <c r="I46" s="2345">
        <v>0</v>
      </c>
      <c r="J46" s="245"/>
      <c r="K46" s="2321"/>
    </row>
    <row r="47" spans="1:13" s="10" customFormat="1" ht="51.75" customHeight="1" x14ac:dyDescent="0.25">
      <c r="A47" s="1379">
        <v>26</v>
      </c>
      <c r="B47" s="2330" t="s">
        <v>2062</v>
      </c>
      <c r="C47" s="2339">
        <f>C48+C51</f>
        <v>568887.19999999995</v>
      </c>
      <c r="D47" s="2339">
        <f>D48+D51</f>
        <v>185169.4</v>
      </c>
      <c r="E47" s="2785"/>
      <c r="F47" s="2339">
        <f>F48+F51</f>
        <v>383717.80000000005</v>
      </c>
      <c r="G47" s="2339">
        <f>G48+G51</f>
        <v>183570</v>
      </c>
      <c r="H47" s="2339"/>
      <c r="I47" s="2339">
        <f>I48+I51</f>
        <v>200147.80000000002</v>
      </c>
      <c r="J47" s="245" t="s">
        <v>2264</v>
      </c>
      <c r="K47" s="2321"/>
      <c r="L47" s="2327"/>
    </row>
    <row r="48" spans="1:13" s="10" customFormat="1" ht="36" customHeight="1" x14ac:dyDescent="0.25">
      <c r="A48" s="1379" t="s">
        <v>1000</v>
      </c>
      <c r="B48" s="619" t="s">
        <v>2063</v>
      </c>
      <c r="C48" s="2339">
        <f>C49+C50</f>
        <v>233887.2</v>
      </c>
      <c r="D48" s="2339">
        <f>D49+D50</f>
        <v>54889.4</v>
      </c>
      <c r="E48" s="2785"/>
      <c r="F48" s="2339">
        <f>F49+F50</f>
        <v>178997.80000000002</v>
      </c>
      <c r="G48" s="2784">
        <f>G49+G50</f>
        <v>0</v>
      </c>
      <c r="H48" s="2339"/>
      <c r="I48" s="2339">
        <f>I49+I50</f>
        <v>178997.80000000002</v>
      </c>
      <c r="J48" s="245"/>
      <c r="K48" s="2321"/>
    </row>
    <row r="49" spans="1:11" s="10" customFormat="1" ht="19.5" customHeight="1" x14ac:dyDescent="0.25">
      <c r="A49" s="1379"/>
      <c r="B49" s="2330" t="s">
        <v>2059</v>
      </c>
      <c r="C49" s="2339">
        <f>212887.2</f>
        <v>212887.2</v>
      </c>
      <c r="D49" s="2781">
        <f>54889.4</f>
        <v>54889.4</v>
      </c>
      <c r="E49" s="116"/>
      <c r="F49" s="2345">
        <f t="shared" si="9"/>
        <v>157997.80000000002</v>
      </c>
      <c r="G49" s="2345"/>
      <c r="H49" s="2345"/>
      <c r="I49" s="1541">
        <f>F49</f>
        <v>157997.80000000002</v>
      </c>
      <c r="J49" s="245"/>
      <c r="K49" s="2321"/>
    </row>
    <row r="50" spans="1:11" s="10" customFormat="1" ht="19.5" customHeight="1" x14ac:dyDescent="0.25">
      <c r="A50" s="1379"/>
      <c r="B50" s="2330" t="s">
        <v>2060</v>
      </c>
      <c r="C50" s="2339">
        <v>21000</v>
      </c>
      <c r="D50" s="2781"/>
      <c r="E50" s="116"/>
      <c r="F50" s="2345">
        <f t="shared" si="9"/>
        <v>21000</v>
      </c>
      <c r="G50" s="2345"/>
      <c r="H50" s="2345"/>
      <c r="I50" s="1541">
        <f>F50</f>
        <v>21000</v>
      </c>
      <c r="J50" s="245"/>
      <c r="K50" s="2321"/>
    </row>
    <row r="51" spans="1:11" s="10" customFormat="1" ht="19.5" customHeight="1" x14ac:dyDescent="0.25">
      <c r="A51" s="1379" t="s">
        <v>1000</v>
      </c>
      <c r="B51" s="619" t="s">
        <v>2064</v>
      </c>
      <c r="C51" s="2339">
        <f>C52+C53</f>
        <v>335000</v>
      </c>
      <c r="D51" s="2339">
        <f>D52+D53</f>
        <v>130280</v>
      </c>
      <c r="E51" s="116"/>
      <c r="F51" s="2339">
        <f>F52+F53</f>
        <v>204720</v>
      </c>
      <c r="G51" s="2339">
        <f>G52+G53</f>
        <v>183570</v>
      </c>
      <c r="H51" s="2339"/>
      <c r="I51" s="2339">
        <f>I52+I53</f>
        <v>21150</v>
      </c>
      <c r="J51" s="245"/>
      <c r="K51" s="2321"/>
    </row>
    <row r="52" spans="1:11" s="10" customFormat="1" ht="19.5" customHeight="1" x14ac:dyDescent="0.25">
      <c r="A52" s="1379"/>
      <c r="B52" s="2330" t="s">
        <v>2059</v>
      </c>
      <c r="C52" s="2339">
        <v>319000</v>
      </c>
      <c r="D52" s="2781">
        <f>100800+15630+13850</f>
        <v>130280</v>
      </c>
      <c r="E52" s="116"/>
      <c r="F52" s="2345">
        <f t="shared" si="9"/>
        <v>188720</v>
      </c>
      <c r="G52" s="2345">
        <v>169570</v>
      </c>
      <c r="H52" s="2345"/>
      <c r="I52" s="1541">
        <f>F52-G52</f>
        <v>19150</v>
      </c>
      <c r="J52" s="245"/>
      <c r="K52" s="2321"/>
    </row>
    <row r="53" spans="1:11" s="10" customFormat="1" ht="19.5" customHeight="1" x14ac:dyDescent="0.25">
      <c r="A53" s="1379"/>
      <c r="B53" s="2330" t="s">
        <v>2060</v>
      </c>
      <c r="C53" s="2339">
        <v>16000</v>
      </c>
      <c r="D53" s="2781"/>
      <c r="E53" s="116"/>
      <c r="F53" s="2345">
        <f t="shared" si="9"/>
        <v>16000</v>
      </c>
      <c r="G53" s="2345">
        <v>14000</v>
      </c>
      <c r="H53" s="2345"/>
      <c r="I53" s="1541">
        <f>F53-G53</f>
        <v>2000</v>
      </c>
      <c r="J53" s="245"/>
      <c r="K53" s="2321"/>
    </row>
    <row r="54" spans="1:11" s="10" customFormat="1" ht="51.75" customHeight="1" x14ac:dyDescent="0.25">
      <c r="A54" s="1379">
        <v>27</v>
      </c>
      <c r="B54" s="2330" t="s">
        <v>2065</v>
      </c>
      <c r="C54" s="2333">
        <f>C55+C58</f>
        <v>343685.27100000001</v>
      </c>
      <c r="D54" s="2333">
        <f>D55+D58</f>
        <v>286784.97399999999</v>
      </c>
      <c r="E54" s="2784">
        <f t="shared" ref="E54:I54" si="12">E55+E58</f>
        <v>0</v>
      </c>
      <c r="F54" s="2339">
        <f t="shared" si="12"/>
        <v>56900.296999999999</v>
      </c>
      <c r="G54" s="2345"/>
      <c r="H54" s="2339"/>
      <c r="I54" s="2339">
        <f t="shared" si="12"/>
        <v>56900.296999999999</v>
      </c>
      <c r="J54" s="245" t="s">
        <v>2264</v>
      </c>
      <c r="K54" s="2321"/>
    </row>
    <row r="55" spans="1:11" s="10" customFormat="1" ht="35.25" customHeight="1" x14ac:dyDescent="0.25">
      <c r="A55" s="1379" t="s">
        <v>1000</v>
      </c>
      <c r="B55" s="619" t="s">
        <v>2063</v>
      </c>
      <c r="C55" s="2333">
        <f>C56+C57</f>
        <v>284285.27100000001</v>
      </c>
      <c r="D55" s="2333">
        <f>D56+D57</f>
        <v>246234.14300000001</v>
      </c>
      <c r="E55" s="2784">
        <f t="shared" ref="E55:I55" si="13">E56+E57</f>
        <v>0</v>
      </c>
      <c r="F55" s="2339">
        <f t="shared" si="13"/>
        <v>38051.127999999997</v>
      </c>
      <c r="G55" s="2345"/>
      <c r="H55" s="2339"/>
      <c r="I55" s="2339">
        <f t="shared" si="13"/>
        <v>38051.127999999997</v>
      </c>
      <c r="J55" s="245"/>
      <c r="K55" s="2321"/>
    </row>
    <row r="56" spans="1:11" s="10" customFormat="1" ht="19.5" customHeight="1" x14ac:dyDescent="0.25">
      <c r="A56" s="1379"/>
      <c r="B56" s="2330" t="s">
        <v>2059</v>
      </c>
      <c r="C56" s="2782">
        <v>268285.27100000001</v>
      </c>
      <c r="D56" s="2783">
        <v>242166.98300000001</v>
      </c>
      <c r="E56" s="2785"/>
      <c r="F56" s="2345">
        <f t="shared" si="9"/>
        <v>26118.288</v>
      </c>
      <c r="G56" s="2345"/>
      <c r="H56" s="2345"/>
      <c r="I56" s="1541">
        <f>F56</f>
        <v>26118.288</v>
      </c>
      <c r="J56" s="245"/>
      <c r="K56" s="2321"/>
    </row>
    <row r="57" spans="1:11" s="10" customFormat="1" ht="19.5" customHeight="1" x14ac:dyDescent="0.25">
      <c r="A57" s="1379"/>
      <c r="B57" s="2330" t="s">
        <v>2060</v>
      </c>
      <c r="C57" s="2339">
        <v>16000</v>
      </c>
      <c r="D57" s="2781">
        <v>4067.16</v>
      </c>
      <c r="E57" s="2785"/>
      <c r="F57" s="2345">
        <f t="shared" si="9"/>
        <v>11932.84</v>
      </c>
      <c r="G57" s="2345"/>
      <c r="H57" s="2345"/>
      <c r="I57" s="1541">
        <f>F57</f>
        <v>11932.84</v>
      </c>
      <c r="J57" s="245"/>
      <c r="K57" s="2321"/>
    </row>
    <row r="58" spans="1:11" s="10" customFormat="1" ht="19.5" customHeight="1" x14ac:dyDescent="0.25">
      <c r="A58" s="1379" t="s">
        <v>1000</v>
      </c>
      <c r="B58" s="619" t="s">
        <v>2064</v>
      </c>
      <c r="C58" s="2778">
        <f>C59+C60</f>
        <v>59400</v>
      </c>
      <c r="D58" s="2778">
        <f>D59+D60</f>
        <v>40550.830999999998</v>
      </c>
      <c r="E58" s="2789">
        <f t="shared" ref="E58:I58" si="14">E59+E60</f>
        <v>0</v>
      </c>
      <c r="F58" s="2778">
        <f t="shared" si="14"/>
        <v>18849.169000000002</v>
      </c>
      <c r="G58" s="2345"/>
      <c r="H58" s="2778"/>
      <c r="I58" s="2778">
        <f t="shared" si="14"/>
        <v>18849.169000000002</v>
      </c>
      <c r="J58" s="245"/>
      <c r="K58" s="2321"/>
    </row>
    <row r="59" spans="1:11" s="10" customFormat="1" ht="19.5" customHeight="1" x14ac:dyDescent="0.25">
      <c r="A59" s="1379"/>
      <c r="B59" s="2330" t="s">
        <v>2059</v>
      </c>
      <c r="C59" s="2339">
        <v>57400</v>
      </c>
      <c r="D59" s="2781">
        <v>40550.830999999998</v>
      </c>
      <c r="E59" s="116"/>
      <c r="F59" s="2345">
        <f t="shared" si="9"/>
        <v>16849.169000000002</v>
      </c>
      <c r="G59" s="2345"/>
      <c r="H59" s="2345"/>
      <c r="I59" s="1541">
        <f>F59</f>
        <v>16849.169000000002</v>
      </c>
      <c r="J59" s="245"/>
      <c r="K59" s="2321"/>
    </row>
    <row r="60" spans="1:11" s="10" customFormat="1" ht="19.5" customHeight="1" x14ac:dyDescent="0.25">
      <c r="A60" s="1379"/>
      <c r="B60" s="2330" t="s">
        <v>2060</v>
      </c>
      <c r="C60" s="2339">
        <v>2000</v>
      </c>
      <c r="D60" s="2781"/>
      <c r="E60" s="116"/>
      <c r="F60" s="2345">
        <f t="shared" si="9"/>
        <v>2000</v>
      </c>
      <c r="G60" s="2345"/>
      <c r="H60" s="2345"/>
      <c r="I60" s="1541">
        <f>F60</f>
        <v>2000</v>
      </c>
      <c r="J60" s="245"/>
      <c r="K60" s="2321"/>
    </row>
    <row r="62" spans="1:11" x14ac:dyDescent="0.25">
      <c r="A62" s="3350" t="s">
        <v>1084</v>
      </c>
      <c r="B62" s="3350"/>
      <c r="C62" s="3350"/>
      <c r="D62" s="3350"/>
      <c r="E62" s="3350"/>
      <c r="F62" s="3350"/>
      <c r="G62" s="3350"/>
      <c r="H62" s="3350"/>
      <c r="I62" s="3350"/>
      <c r="J62" s="3350"/>
    </row>
    <row r="63" spans="1:11" ht="16.5" x14ac:dyDescent="0.25">
      <c r="B63" s="2043"/>
      <c r="C63" s="2340"/>
      <c r="D63" s="2340"/>
      <c r="E63" s="2416"/>
      <c r="F63" s="2416"/>
      <c r="G63" s="3343" t="s">
        <v>2345</v>
      </c>
      <c r="H63" s="3343"/>
      <c r="I63" s="3343"/>
      <c r="J63" s="3343"/>
      <c r="K63" s="2416"/>
    </row>
    <row r="64" spans="1:11" ht="33.75" customHeight="1" x14ac:dyDescent="0.25">
      <c r="A64" s="3348"/>
      <c r="B64" s="3348"/>
      <c r="C64" s="3348"/>
      <c r="D64" s="2340"/>
      <c r="E64" s="2415"/>
      <c r="F64" s="2415"/>
      <c r="G64" s="3351" t="s">
        <v>1075</v>
      </c>
      <c r="H64" s="3351"/>
      <c r="I64" s="3351"/>
      <c r="J64" s="3351"/>
      <c r="K64" s="2415"/>
    </row>
    <row r="65" spans="5:11" ht="16.5" x14ac:dyDescent="0.25">
      <c r="E65" s="1461"/>
      <c r="F65" s="1461"/>
      <c r="G65" s="3122" t="s">
        <v>12</v>
      </c>
      <c r="H65" s="3122"/>
      <c r="I65" s="3122"/>
      <c r="J65" s="3122"/>
      <c r="K65" s="1461"/>
    </row>
    <row r="71" spans="5:11" ht="16.5" x14ac:dyDescent="0.25">
      <c r="G71" s="3344" t="s">
        <v>1386</v>
      </c>
      <c r="H71" s="3344"/>
      <c r="I71" s="3344"/>
      <c r="J71" s="3344"/>
    </row>
  </sheetData>
  <mergeCells count="22">
    <mergeCell ref="G65:J65"/>
    <mergeCell ref="H6:H7"/>
    <mergeCell ref="I6:I7"/>
    <mergeCell ref="A62:J62"/>
    <mergeCell ref="G63:J63"/>
    <mergeCell ref="G64:J64"/>
    <mergeCell ref="G71:J71"/>
    <mergeCell ref="I1:J1"/>
    <mergeCell ref="A2:J2"/>
    <mergeCell ref="H4:J4"/>
    <mergeCell ref="A5:A7"/>
    <mergeCell ref="B5:B7"/>
    <mergeCell ref="C5:C7"/>
    <mergeCell ref="D5:E5"/>
    <mergeCell ref="F5:F7"/>
    <mergeCell ref="G5:I5"/>
    <mergeCell ref="J5:J7"/>
    <mergeCell ref="A3:J3"/>
    <mergeCell ref="A64:C64"/>
    <mergeCell ref="D6:D7"/>
    <mergeCell ref="E6:E7"/>
    <mergeCell ref="G6:G7"/>
  </mergeCells>
  <pageMargins left="0.45" right="0.45" top="0.5" bottom="0.5" header="0.3" footer="0.3"/>
  <pageSetup paperSize="9" scale="89" firstPageNumber="85" orientation="landscape" useFirstPageNumber="1" verticalDpi="0" r:id="rId1"/>
  <headerFooter>
    <oddFooter>&amp;C&amp;P</oddFooter>
  </headerFooter>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0F892-4211-453E-AFD5-2E77022D1D04}">
  <sheetPr>
    <tabColor theme="3" tint="0.39997558519241921"/>
  </sheetPr>
  <dimension ref="A1:G25"/>
  <sheetViews>
    <sheetView view="pageBreakPreview" zoomScaleNormal="100" zoomScaleSheetLayoutView="100" workbookViewId="0">
      <selection activeCell="A17" sqref="A17"/>
    </sheetView>
  </sheetViews>
  <sheetFormatPr defaultRowHeight="16.5" x14ac:dyDescent="0.25"/>
  <cols>
    <col min="1" max="1" width="9.140625" style="1235"/>
    <col min="2" max="2" width="34.140625" style="1235" customWidth="1"/>
    <col min="3" max="4" width="14.5703125" style="1235" customWidth="1"/>
    <col min="5" max="5" width="13" style="1235" hidden="1" customWidth="1"/>
    <col min="6" max="6" width="15.5703125" style="1235" customWidth="1"/>
    <col min="7" max="257" width="9.140625" style="1235"/>
    <col min="258" max="258" width="30.7109375" style="1235" customWidth="1"/>
    <col min="259" max="260" width="13" style="1235" customWidth="1"/>
    <col min="261" max="261" width="0" style="1235" hidden="1" customWidth="1"/>
    <col min="262" max="262" width="13" style="1235" customWidth="1"/>
    <col min="263" max="513" width="9.140625" style="1235"/>
    <col min="514" max="514" width="30.7109375" style="1235" customWidth="1"/>
    <col min="515" max="516" width="13" style="1235" customWidth="1"/>
    <col min="517" max="517" width="0" style="1235" hidden="1" customWidth="1"/>
    <col min="518" max="518" width="13" style="1235" customWidth="1"/>
    <col min="519" max="769" width="9.140625" style="1235"/>
    <col min="770" max="770" width="30.7109375" style="1235" customWidth="1"/>
    <col min="771" max="772" width="13" style="1235" customWidth="1"/>
    <col min="773" max="773" width="0" style="1235" hidden="1" customWidth="1"/>
    <col min="774" max="774" width="13" style="1235" customWidth="1"/>
    <col min="775" max="1025" width="9.140625" style="1235"/>
    <col min="1026" max="1026" width="30.7109375" style="1235" customWidth="1"/>
    <col min="1027" max="1028" width="13" style="1235" customWidth="1"/>
    <col min="1029" max="1029" width="0" style="1235" hidden="1" customWidth="1"/>
    <col min="1030" max="1030" width="13" style="1235" customWidth="1"/>
    <col min="1031" max="1281" width="9.140625" style="1235"/>
    <col min="1282" max="1282" width="30.7109375" style="1235" customWidth="1"/>
    <col min="1283" max="1284" width="13" style="1235" customWidth="1"/>
    <col min="1285" max="1285" width="0" style="1235" hidden="1" customWidth="1"/>
    <col min="1286" max="1286" width="13" style="1235" customWidth="1"/>
    <col min="1287" max="1537" width="9.140625" style="1235"/>
    <col min="1538" max="1538" width="30.7109375" style="1235" customWidth="1"/>
    <col min="1539" max="1540" width="13" style="1235" customWidth="1"/>
    <col min="1541" max="1541" width="0" style="1235" hidden="1" customWidth="1"/>
    <col min="1542" max="1542" width="13" style="1235" customWidth="1"/>
    <col min="1543" max="1793" width="9.140625" style="1235"/>
    <col min="1794" max="1794" width="30.7109375" style="1235" customWidth="1"/>
    <col min="1795" max="1796" width="13" style="1235" customWidth="1"/>
    <col min="1797" max="1797" width="0" style="1235" hidden="1" customWidth="1"/>
    <col min="1798" max="1798" width="13" style="1235" customWidth="1"/>
    <col min="1799" max="2049" width="9.140625" style="1235"/>
    <col min="2050" max="2050" width="30.7109375" style="1235" customWidth="1"/>
    <col min="2051" max="2052" width="13" style="1235" customWidth="1"/>
    <col min="2053" max="2053" width="0" style="1235" hidden="1" customWidth="1"/>
    <col min="2054" max="2054" width="13" style="1235" customWidth="1"/>
    <col min="2055" max="2305" width="9.140625" style="1235"/>
    <col min="2306" max="2306" width="30.7109375" style="1235" customWidth="1"/>
    <col min="2307" max="2308" width="13" style="1235" customWidth="1"/>
    <col min="2309" max="2309" width="0" style="1235" hidden="1" customWidth="1"/>
    <col min="2310" max="2310" width="13" style="1235" customWidth="1"/>
    <col min="2311" max="2561" width="9.140625" style="1235"/>
    <col min="2562" max="2562" width="30.7109375" style="1235" customWidth="1"/>
    <col min="2563" max="2564" width="13" style="1235" customWidth="1"/>
    <col min="2565" max="2565" width="0" style="1235" hidden="1" customWidth="1"/>
    <col min="2566" max="2566" width="13" style="1235" customWidth="1"/>
    <col min="2567" max="2817" width="9.140625" style="1235"/>
    <col min="2818" max="2818" width="30.7109375" style="1235" customWidth="1"/>
    <col min="2819" max="2820" width="13" style="1235" customWidth="1"/>
    <col min="2821" max="2821" width="0" style="1235" hidden="1" customWidth="1"/>
    <col min="2822" max="2822" width="13" style="1235" customWidth="1"/>
    <col min="2823" max="3073" width="9.140625" style="1235"/>
    <col min="3074" max="3074" width="30.7109375" style="1235" customWidth="1"/>
    <col min="3075" max="3076" width="13" style="1235" customWidth="1"/>
    <col min="3077" max="3077" width="0" style="1235" hidden="1" customWidth="1"/>
    <col min="3078" max="3078" width="13" style="1235" customWidth="1"/>
    <col min="3079" max="3329" width="9.140625" style="1235"/>
    <col min="3330" max="3330" width="30.7109375" style="1235" customWidth="1"/>
    <col min="3331" max="3332" width="13" style="1235" customWidth="1"/>
    <col min="3333" max="3333" width="0" style="1235" hidden="1" customWidth="1"/>
    <col min="3334" max="3334" width="13" style="1235" customWidth="1"/>
    <col min="3335" max="3585" width="9.140625" style="1235"/>
    <col min="3586" max="3586" width="30.7109375" style="1235" customWidth="1"/>
    <col min="3587" max="3588" width="13" style="1235" customWidth="1"/>
    <col min="3589" max="3589" width="0" style="1235" hidden="1" customWidth="1"/>
    <col min="3590" max="3590" width="13" style="1235" customWidth="1"/>
    <col min="3591" max="3841" width="9.140625" style="1235"/>
    <col min="3842" max="3842" width="30.7109375" style="1235" customWidth="1"/>
    <col min="3843" max="3844" width="13" style="1235" customWidth="1"/>
    <col min="3845" max="3845" width="0" style="1235" hidden="1" customWidth="1"/>
    <col min="3846" max="3846" width="13" style="1235" customWidth="1"/>
    <col min="3847" max="4097" width="9.140625" style="1235"/>
    <col min="4098" max="4098" width="30.7109375" style="1235" customWidth="1"/>
    <col min="4099" max="4100" width="13" style="1235" customWidth="1"/>
    <col min="4101" max="4101" width="0" style="1235" hidden="1" customWidth="1"/>
    <col min="4102" max="4102" width="13" style="1235" customWidth="1"/>
    <col min="4103" max="4353" width="9.140625" style="1235"/>
    <col min="4354" max="4354" width="30.7109375" style="1235" customWidth="1"/>
    <col min="4355" max="4356" width="13" style="1235" customWidth="1"/>
    <col min="4357" max="4357" width="0" style="1235" hidden="1" customWidth="1"/>
    <col min="4358" max="4358" width="13" style="1235" customWidth="1"/>
    <col min="4359" max="4609" width="9.140625" style="1235"/>
    <col min="4610" max="4610" width="30.7109375" style="1235" customWidth="1"/>
    <col min="4611" max="4612" width="13" style="1235" customWidth="1"/>
    <col min="4613" max="4613" width="0" style="1235" hidden="1" customWidth="1"/>
    <col min="4614" max="4614" width="13" style="1235" customWidth="1"/>
    <col min="4615" max="4865" width="9.140625" style="1235"/>
    <col min="4866" max="4866" width="30.7109375" style="1235" customWidth="1"/>
    <col min="4867" max="4868" width="13" style="1235" customWidth="1"/>
    <col min="4869" max="4869" width="0" style="1235" hidden="1" customWidth="1"/>
    <col min="4870" max="4870" width="13" style="1235" customWidth="1"/>
    <col min="4871" max="5121" width="9.140625" style="1235"/>
    <col min="5122" max="5122" width="30.7109375" style="1235" customWidth="1"/>
    <col min="5123" max="5124" width="13" style="1235" customWidth="1"/>
    <col min="5125" max="5125" width="0" style="1235" hidden="1" customWidth="1"/>
    <col min="5126" max="5126" width="13" style="1235" customWidth="1"/>
    <col min="5127" max="5377" width="9.140625" style="1235"/>
    <col min="5378" max="5378" width="30.7109375" style="1235" customWidth="1"/>
    <col min="5379" max="5380" width="13" style="1235" customWidth="1"/>
    <col min="5381" max="5381" width="0" style="1235" hidden="1" customWidth="1"/>
    <col min="5382" max="5382" width="13" style="1235" customWidth="1"/>
    <col min="5383" max="5633" width="9.140625" style="1235"/>
    <col min="5634" max="5634" width="30.7109375" style="1235" customWidth="1"/>
    <col min="5635" max="5636" width="13" style="1235" customWidth="1"/>
    <col min="5637" max="5637" width="0" style="1235" hidden="1" customWidth="1"/>
    <col min="5638" max="5638" width="13" style="1235" customWidth="1"/>
    <col min="5639" max="5889" width="9.140625" style="1235"/>
    <col min="5890" max="5890" width="30.7109375" style="1235" customWidth="1"/>
    <col min="5891" max="5892" width="13" style="1235" customWidth="1"/>
    <col min="5893" max="5893" width="0" style="1235" hidden="1" customWidth="1"/>
    <col min="5894" max="5894" width="13" style="1235" customWidth="1"/>
    <col min="5895" max="6145" width="9.140625" style="1235"/>
    <col min="6146" max="6146" width="30.7109375" style="1235" customWidth="1"/>
    <col min="6147" max="6148" width="13" style="1235" customWidth="1"/>
    <col min="6149" max="6149" width="0" style="1235" hidden="1" customWidth="1"/>
    <col min="6150" max="6150" width="13" style="1235" customWidth="1"/>
    <col min="6151" max="6401" width="9.140625" style="1235"/>
    <col min="6402" max="6402" width="30.7109375" style="1235" customWidth="1"/>
    <col min="6403" max="6404" width="13" style="1235" customWidth="1"/>
    <col min="6405" max="6405" width="0" style="1235" hidden="1" customWidth="1"/>
    <col min="6406" max="6406" width="13" style="1235" customWidth="1"/>
    <col min="6407" max="6657" width="9.140625" style="1235"/>
    <col min="6658" max="6658" width="30.7109375" style="1235" customWidth="1"/>
    <col min="6659" max="6660" width="13" style="1235" customWidth="1"/>
    <col min="6661" max="6661" width="0" style="1235" hidden="1" customWidth="1"/>
    <col min="6662" max="6662" width="13" style="1235" customWidth="1"/>
    <col min="6663" max="6913" width="9.140625" style="1235"/>
    <col min="6914" max="6914" width="30.7109375" style="1235" customWidth="1"/>
    <col min="6915" max="6916" width="13" style="1235" customWidth="1"/>
    <col min="6917" max="6917" width="0" style="1235" hidden="1" customWidth="1"/>
    <col min="6918" max="6918" width="13" style="1235" customWidth="1"/>
    <col min="6919" max="7169" width="9.140625" style="1235"/>
    <col min="7170" max="7170" width="30.7109375" style="1235" customWidth="1"/>
    <col min="7171" max="7172" width="13" style="1235" customWidth="1"/>
    <col min="7173" max="7173" width="0" style="1235" hidden="1" customWidth="1"/>
    <col min="7174" max="7174" width="13" style="1235" customWidth="1"/>
    <col min="7175" max="7425" width="9.140625" style="1235"/>
    <col min="7426" max="7426" width="30.7109375" style="1235" customWidth="1"/>
    <col min="7427" max="7428" width="13" style="1235" customWidth="1"/>
    <col min="7429" max="7429" width="0" style="1235" hidden="1" customWidth="1"/>
    <col min="7430" max="7430" width="13" style="1235" customWidth="1"/>
    <col min="7431" max="7681" width="9.140625" style="1235"/>
    <col min="7682" max="7682" width="30.7109375" style="1235" customWidth="1"/>
    <col min="7683" max="7684" width="13" style="1235" customWidth="1"/>
    <col min="7685" max="7685" width="0" style="1235" hidden="1" customWidth="1"/>
    <col min="7686" max="7686" width="13" style="1235" customWidth="1"/>
    <col min="7687" max="7937" width="9.140625" style="1235"/>
    <col min="7938" max="7938" width="30.7109375" style="1235" customWidth="1"/>
    <col min="7939" max="7940" width="13" style="1235" customWidth="1"/>
    <col min="7941" max="7941" width="0" style="1235" hidden="1" customWidth="1"/>
    <col min="7942" max="7942" width="13" style="1235" customWidth="1"/>
    <col min="7943" max="8193" width="9.140625" style="1235"/>
    <col min="8194" max="8194" width="30.7109375" style="1235" customWidth="1"/>
    <col min="8195" max="8196" width="13" style="1235" customWidth="1"/>
    <col min="8197" max="8197" width="0" style="1235" hidden="1" customWidth="1"/>
    <col min="8198" max="8198" width="13" style="1235" customWidth="1"/>
    <col min="8199" max="8449" width="9.140625" style="1235"/>
    <col min="8450" max="8450" width="30.7109375" style="1235" customWidth="1"/>
    <col min="8451" max="8452" width="13" style="1235" customWidth="1"/>
    <col min="8453" max="8453" width="0" style="1235" hidden="1" customWidth="1"/>
    <col min="8454" max="8454" width="13" style="1235" customWidth="1"/>
    <col min="8455" max="8705" width="9.140625" style="1235"/>
    <col min="8706" max="8706" width="30.7109375" style="1235" customWidth="1"/>
    <col min="8707" max="8708" width="13" style="1235" customWidth="1"/>
    <col min="8709" max="8709" width="0" style="1235" hidden="1" customWidth="1"/>
    <col min="8710" max="8710" width="13" style="1235" customWidth="1"/>
    <col min="8711" max="8961" width="9.140625" style="1235"/>
    <col min="8962" max="8962" width="30.7109375" style="1235" customWidth="1"/>
    <col min="8963" max="8964" width="13" style="1235" customWidth="1"/>
    <col min="8965" max="8965" width="0" style="1235" hidden="1" customWidth="1"/>
    <col min="8966" max="8966" width="13" style="1235" customWidth="1"/>
    <col min="8967" max="9217" width="9.140625" style="1235"/>
    <col min="9218" max="9218" width="30.7109375" style="1235" customWidth="1"/>
    <col min="9219" max="9220" width="13" style="1235" customWidth="1"/>
    <col min="9221" max="9221" width="0" style="1235" hidden="1" customWidth="1"/>
    <col min="9222" max="9222" width="13" style="1235" customWidth="1"/>
    <col min="9223" max="9473" width="9.140625" style="1235"/>
    <col min="9474" max="9474" width="30.7109375" style="1235" customWidth="1"/>
    <col min="9475" max="9476" width="13" style="1235" customWidth="1"/>
    <col min="9477" max="9477" width="0" style="1235" hidden="1" customWidth="1"/>
    <col min="9478" max="9478" width="13" style="1235" customWidth="1"/>
    <col min="9479" max="9729" width="9.140625" style="1235"/>
    <col min="9730" max="9730" width="30.7109375" style="1235" customWidth="1"/>
    <col min="9731" max="9732" width="13" style="1235" customWidth="1"/>
    <col min="9733" max="9733" width="0" style="1235" hidden="1" customWidth="1"/>
    <col min="9734" max="9734" width="13" style="1235" customWidth="1"/>
    <col min="9735" max="9985" width="9.140625" style="1235"/>
    <col min="9986" max="9986" width="30.7109375" style="1235" customWidth="1"/>
    <col min="9987" max="9988" width="13" style="1235" customWidth="1"/>
    <col min="9989" max="9989" width="0" style="1235" hidden="1" customWidth="1"/>
    <col min="9990" max="9990" width="13" style="1235" customWidth="1"/>
    <col min="9991" max="10241" width="9.140625" style="1235"/>
    <col min="10242" max="10242" width="30.7109375" style="1235" customWidth="1"/>
    <col min="10243" max="10244" width="13" style="1235" customWidth="1"/>
    <col min="10245" max="10245" width="0" style="1235" hidden="1" customWidth="1"/>
    <col min="10246" max="10246" width="13" style="1235" customWidth="1"/>
    <col min="10247" max="10497" width="9.140625" style="1235"/>
    <col min="10498" max="10498" width="30.7109375" style="1235" customWidth="1"/>
    <col min="10499" max="10500" width="13" style="1235" customWidth="1"/>
    <col min="10501" max="10501" width="0" style="1235" hidden="1" customWidth="1"/>
    <col min="10502" max="10502" width="13" style="1235" customWidth="1"/>
    <col min="10503" max="10753" width="9.140625" style="1235"/>
    <col min="10754" max="10754" width="30.7109375" style="1235" customWidth="1"/>
    <col min="10755" max="10756" width="13" style="1235" customWidth="1"/>
    <col min="10757" max="10757" width="0" style="1235" hidden="1" customWidth="1"/>
    <col min="10758" max="10758" width="13" style="1235" customWidth="1"/>
    <col min="10759" max="11009" width="9.140625" style="1235"/>
    <col min="11010" max="11010" width="30.7109375" style="1235" customWidth="1"/>
    <col min="11011" max="11012" width="13" style="1235" customWidth="1"/>
    <col min="11013" max="11013" width="0" style="1235" hidden="1" customWidth="1"/>
    <col min="11014" max="11014" width="13" style="1235" customWidth="1"/>
    <col min="11015" max="11265" width="9.140625" style="1235"/>
    <col min="11266" max="11266" width="30.7109375" style="1235" customWidth="1"/>
    <col min="11267" max="11268" width="13" style="1235" customWidth="1"/>
    <col min="11269" max="11269" width="0" style="1235" hidden="1" customWidth="1"/>
    <col min="11270" max="11270" width="13" style="1235" customWidth="1"/>
    <col min="11271" max="11521" width="9.140625" style="1235"/>
    <col min="11522" max="11522" width="30.7109375" style="1235" customWidth="1"/>
    <col min="11523" max="11524" width="13" style="1235" customWidth="1"/>
    <col min="11525" max="11525" width="0" style="1235" hidden="1" customWidth="1"/>
    <col min="11526" max="11526" width="13" style="1235" customWidth="1"/>
    <col min="11527" max="11777" width="9.140625" style="1235"/>
    <col min="11778" max="11778" width="30.7109375" style="1235" customWidth="1"/>
    <col min="11779" max="11780" width="13" style="1235" customWidth="1"/>
    <col min="11781" max="11781" width="0" style="1235" hidden="1" customWidth="1"/>
    <col min="11782" max="11782" width="13" style="1235" customWidth="1"/>
    <col min="11783" max="12033" width="9.140625" style="1235"/>
    <col min="12034" max="12034" width="30.7109375" style="1235" customWidth="1"/>
    <col min="12035" max="12036" width="13" style="1235" customWidth="1"/>
    <col min="12037" max="12037" width="0" style="1235" hidden="1" customWidth="1"/>
    <col min="12038" max="12038" width="13" style="1235" customWidth="1"/>
    <col min="12039" max="12289" width="9.140625" style="1235"/>
    <col min="12290" max="12290" width="30.7109375" style="1235" customWidth="1"/>
    <col min="12291" max="12292" width="13" style="1235" customWidth="1"/>
    <col min="12293" max="12293" width="0" style="1235" hidden="1" customWidth="1"/>
    <col min="12294" max="12294" width="13" style="1235" customWidth="1"/>
    <col min="12295" max="12545" width="9.140625" style="1235"/>
    <col min="12546" max="12546" width="30.7109375" style="1235" customWidth="1"/>
    <col min="12547" max="12548" width="13" style="1235" customWidth="1"/>
    <col min="12549" max="12549" width="0" style="1235" hidden="1" customWidth="1"/>
    <col min="12550" max="12550" width="13" style="1235" customWidth="1"/>
    <col min="12551" max="12801" width="9.140625" style="1235"/>
    <col min="12802" max="12802" width="30.7109375" style="1235" customWidth="1"/>
    <col min="12803" max="12804" width="13" style="1235" customWidth="1"/>
    <col min="12805" max="12805" width="0" style="1235" hidden="1" customWidth="1"/>
    <col min="12806" max="12806" width="13" style="1235" customWidth="1"/>
    <col min="12807" max="13057" width="9.140625" style="1235"/>
    <col min="13058" max="13058" width="30.7109375" style="1235" customWidth="1"/>
    <col min="13059" max="13060" width="13" style="1235" customWidth="1"/>
    <col min="13061" max="13061" width="0" style="1235" hidden="1" customWidth="1"/>
    <col min="13062" max="13062" width="13" style="1235" customWidth="1"/>
    <col min="13063" max="13313" width="9.140625" style="1235"/>
    <col min="13314" max="13314" width="30.7109375" style="1235" customWidth="1"/>
    <col min="13315" max="13316" width="13" style="1235" customWidth="1"/>
    <col min="13317" max="13317" width="0" style="1235" hidden="1" customWidth="1"/>
    <col min="13318" max="13318" width="13" style="1235" customWidth="1"/>
    <col min="13319" max="13569" width="9.140625" style="1235"/>
    <col min="13570" max="13570" width="30.7109375" style="1235" customWidth="1"/>
    <col min="13571" max="13572" width="13" style="1235" customWidth="1"/>
    <col min="13573" max="13573" width="0" style="1235" hidden="1" customWidth="1"/>
    <col min="13574" max="13574" width="13" style="1235" customWidth="1"/>
    <col min="13575" max="13825" width="9.140625" style="1235"/>
    <col min="13826" max="13826" width="30.7109375" style="1235" customWidth="1"/>
    <col min="13827" max="13828" width="13" style="1235" customWidth="1"/>
    <col min="13829" max="13829" width="0" style="1235" hidden="1" customWidth="1"/>
    <col min="13830" max="13830" width="13" style="1235" customWidth="1"/>
    <col min="13831" max="14081" width="9.140625" style="1235"/>
    <col min="14082" max="14082" width="30.7109375" style="1235" customWidth="1"/>
    <col min="14083" max="14084" width="13" style="1235" customWidth="1"/>
    <col min="14085" max="14085" width="0" style="1235" hidden="1" customWidth="1"/>
    <col min="14086" max="14086" width="13" style="1235" customWidth="1"/>
    <col min="14087" max="14337" width="9.140625" style="1235"/>
    <col min="14338" max="14338" width="30.7109375" style="1235" customWidth="1"/>
    <col min="14339" max="14340" width="13" style="1235" customWidth="1"/>
    <col min="14341" max="14341" width="0" style="1235" hidden="1" customWidth="1"/>
    <col min="14342" max="14342" width="13" style="1235" customWidth="1"/>
    <col min="14343" max="14593" width="9.140625" style="1235"/>
    <col min="14594" max="14594" width="30.7109375" style="1235" customWidth="1"/>
    <col min="14595" max="14596" width="13" style="1235" customWidth="1"/>
    <col min="14597" max="14597" width="0" style="1235" hidden="1" customWidth="1"/>
    <col min="14598" max="14598" width="13" style="1235" customWidth="1"/>
    <col min="14599" max="14849" width="9.140625" style="1235"/>
    <col min="14850" max="14850" width="30.7109375" style="1235" customWidth="1"/>
    <col min="14851" max="14852" width="13" style="1235" customWidth="1"/>
    <col min="14853" max="14853" width="0" style="1235" hidden="1" customWidth="1"/>
    <col min="14854" max="14854" width="13" style="1235" customWidth="1"/>
    <col min="14855" max="15105" width="9.140625" style="1235"/>
    <col min="15106" max="15106" width="30.7109375" style="1235" customWidth="1"/>
    <col min="15107" max="15108" width="13" style="1235" customWidth="1"/>
    <col min="15109" max="15109" width="0" style="1235" hidden="1" customWidth="1"/>
    <col min="15110" max="15110" width="13" style="1235" customWidth="1"/>
    <col min="15111" max="15361" width="9.140625" style="1235"/>
    <col min="15362" max="15362" width="30.7109375" style="1235" customWidth="1"/>
    <col min="15363" max="15364" width="13" style="1235" customWidth="1"/>
    <col min="15365" max="15365" width="0" style="1235" hidden="1" customWidth="1"/>
    <col min="15366" max="15366" width="13" style="1235" customWidth="1"/>
    <col min="15367" max="15617" width="9.140625" style="1235"/>
    <col min="15618" max="15618" width="30.7109375" style="1235" customWidth="1"/>
    <col min="15619" max="15620" width="13" style="1235" customWidth="1"/>
    <col min="15621" max="15621" width="0" style="1235" hidden="1" customWidth="1"/>
    <col min="15622" max="15622" width="13" style="1235" customWidth="1"/>
    <col min="15623" max="15873" width="9.140625" style="1235"/>
    <col min="15874" max="15874" width="30.7109375" style="1235" customWidth="1"/>
    <col min="15875" max="15876" width="13" style="1235" customWidth="1"/>
    <col min="15877" max="15877" width="0" style="1235" hidden="1" customWidth="1"/>
    <col min="15878" max="15878" width="13" style="1235" customWidth="1"/>
    <col min="15879" max="16129" width="9.140625" style="1235"/>
    <col min="16130" max="16130" width="30.7109375" style="1235" customWidth="1"/>
    <col min="16131" max="16132" width="13" style="1235" customWidth="1"/>
    <col min="16133" max="16133" width="0" style="1235" hidden="1" customWidth="1"/>
    <col min="16134" max="16134" width="13" style="1235" customWidth="1"/>
    <col min="16135" max="16384" width="9.140625" style="1235"/>
  </cols>
  <sheetData>
    <row r="1" spans="1:6" ht="24.75" customHeight="1" x14ac:dyDescent="0.25">
      <c r="F1" s="1248" t="s">
        <v>1090</v>
      </c>
    </row>
    <row r="2" spans="1:6" ht="24" customHeight="1" x14ac:dyDescent="0.25">
      <c r="A2" s="3101" t="s">
        <v>1091</v>
      </c>
      <c r="B2" s="3101"/>
      <c r="C2" s="3101"/>
      <c r="D2" s="3101"/>
      <c r="E2" s="3101"/>
      <c r="F2" s="3101"/>
    </row>
    <row r="3" spans="1:6" ht="27.75" customHeight="1" x14ac:dyDescent="0.25">
      <c r="A3" s="3140" t="str">
        <f>'MS 03'!A3:C3</f>
        <v>(Kèm theo Quyết định số          /QĐ-UBND ngày          /4/2026 của UBND phường Bắc Kạn)</v>
      </c>
      <c r="B3" s="3140"/>
      <c r="C3" s="3140"/>
      <c r="D3" s="3140"/>
      <c r="E3" s="3140"/>
      <c r="F3" s="3140"/>
    </row>
    <row r="4" spans="1:6" ht="16.5" customHeight="1" x14ac:dyDescent="0.25">
      <c r="D4" s="3357" t="s">
        <v>982</v>
      </c>
      <c r="E4" s="3357"/>
      <c r="F4" s="3357"/>
    </row>
    <row r="5" spans="1:6" ht="23.25" customHeight="1" x14ac:dyDescent="0.25">
      <c r="A5" s="3353" t="s">
        <v>0</v>
      </c>
      <c r="B5" s="3353" t="s">
        <v>1</v>
      </c>
      <c r="C5" s="3353" t="s">
        <v>1086</v>
      </c>
      <c r="D5" s="3355" t="s">
        <v>47</v>
      </c>
      <c r="E5" s="3355"/>
      <c r="F5" s="3356"/>
    </row>
    <row r="6" spans="1:6" ht="40.5" customHeight="1" x14ac:dyDescent="0.25">
      <c r="A6" s="3354"/>
      <c r="B6" s="3354"/>
      <c r="C6" s="3354"/>
      <c r="D6" s="1250" t="s">
        <v>1008</v>
      </c>
      <c r="E6" s="1250" t="s">
        <v>1092</v>
      </c>
      <c r="F6" s="1250" t="s">
        <v>502</v>
      </c>
    </row>
    <row r="7" spans="1:6" s="1251" customFormat="1" ht="23.25" customHeight="1" x14ac:dyDescent="0.25">
      <c r="A7" s="245" t="s">
        <v>3</v>
      </c>
      <c r="B7" s="245" t="s">
        <v>4</v>
      </c>
      <c r="C7" s="245" t="s">
        <v>1093</v>
      </c>
      <c r="D7" s="245">
        <v>-2</v>
      </c>
      <c r="E7" s="245">
        <v>3</v>
      </c>
      <c r="F7" s="245">
        <v>-3</v>
      </c>
    </row>
    <row r="8" spans="1:6" s="1254" customFormat="1" ht="23.25" customHeight="1" x14ac:dyDescent="0.25">
      <c r="A8" s="1252" t="s">
        <v>5</v>
      </c>
      <c r="B8" s="1253" t="s">
        <v>27</v>
      </c>
      <c r="C8" s="2407"/>
      <c r="D8" s="2407"/>
      <c r="E8" s="2407"/>
      <c r="F8" s="2407"/>
    </row>
    <row r="9" spans="1:6" ht="23.25" hidden="1" customHeight="1" x14ac:dyDescent="0.25">
      <c r="A9" s="1242">
        <v>1</v>
      </c>
      <c r="B9" s="1243" t="s">
        <v>1073</v>
      </c>
      <c r="C9" s="2408"/>
      <c r="D9" s="2408"/>
      <c r="E9" s="2408"/>
      <c r="F9" s="2408"/>
    </row>
    <row r="10" spans="1:6" ht="23.25" hidden="1" customHeight="1" x14ac:dyDescent="0.25">
      <c r="A10" s="1242">
        <v>2</v>
      </c>
      <c r="B10" s="1243" t="s">
        <v>1088</v>
      </c>
      <c r="C10" s="2408"/>
      <c r="D10" s="2408"/>
      <c r="E10" s="2408"/>
      <c r="F10" s="2408"/>
    </row>
    <row r="11" spans="1:6" ht="23.25" hidden="1" customHeight="1" x14ac:dyDescent="0.25">
      <c r="A11" s="1242"/>
      <c r="B11" s="1243" t="s">
        <v>1089</v>
      </c>
      <c r="C11" s="2408"/>
      <c r="D11" s="2408"/>
      <c r="E11" s="2408"/>
      <c r="F11" s="2408"/>
    </row>
    <row r="12" spans="1:6" s="1248" customFormat="1" ht="23.25" customHeight="1" x14ac:dyDescent="0.25">
      <c r="A12" s="1255" t="s">
        <v>11</v>
      </c>
      <c r="B12" s="1256" t="s">
        <v>28</v>
      </c>
      <c r="C12" s="2409">
        <f>C13</f>
        <v>250000</v>
      </c>
      <c r="D12" s="2409"/>
      <c r="E12" s="2409"/>
      <c r="F12" s="2409">
        <f>F13</f>
        <v>250000</v>
      </c>
    </row>
    <row r="13" spans="1:6" ht="51.75" customHeight="1" x14ac:dyDescent="0.25">
      <c r="A13" s="1242">
        <v>1</v>
      </c>
      <c r="B13" s="1243" t="s">
        <v>2089</v>
      </c>
      <c r="C13" s="2408">
        <f>D13+F13</f>
        <v>250000</v>
      </c>
      <c r="D13" s="2408"/>
      <c r="E13" s="2408"/>
      <c r="F13" s="2408">
        <v>250000</v>
      </c>
    </row>
    <row r="14" spans="1:6" ht="23.25" hidden="1" customHeight="1" x14ac:dyDescent="0.25">
      <c r="A14" s="1244"/>
      <c r="B14" s="1244" t="s">
        <v>1094</v>
      </c>
      <c r="C14" s="2410"/>
      <c r="D14" s="2410"/>
      <c r="E14" s="2410"/>
      <c r="F14" s="2410"/>
    </row>
    <row r="16" spans="1:6" ht="36.75" customHeight="1" x14ac:dyDescent="0.25">
      <c r="A16" s="3352" t="s">
        <v>1095</v>
      </c>
      <c r="B16" s="3352"/>
      <c r="C16" s="3352"/>
      <c r="D16" s="3352"/>
      <c r="E16" s="3352"/>
      <c r="F16" s="3352"/>
    </row>
    <row r="17" spans="2:7" ht="27" customHeight="1" x14ac:dyDescent="0.25">
      <c r="B17" s="1257"/>
      <c r="C17" s="3330" t="s">
        <v>2344</v>
      </c>
      <c r="D17" s="3330"/>
      <c r="E17" s="3330"/>
      <c r="F17" s="3330"/>
      <c r="G17" s="1257"/>
    </row>
    <row r="18" spans="2:7" ht="38.25" customHeight="1" x14ac:dyDescent="0.25">
      <c r="B18" s="1258"/>
      <c r="C18" s="3331" t="s">
        <v>1075</v>
      </c>
      <c r="D18" s="3331"/>
      <c r="E18" s="3331"/>
      <c r="F18" s="3331"/>
      <c r="G18" s="1258"/>
    </row>
    <row r="19" spans="2:7" ht="21" customHeight="1" x14ac:dyDescent="0.25">
      <c r="B19" s="1241"/>
      <c r="C19" s="3133" t="s">
        <v>12</v>
      </c>
      <c r="D19" s="3133"/>
      <c r="E19" s="3133"/>
      <c r="F19" s="3133"/>
    </row>
    <row r="25" spans="2:7" ht="22.5" customHeight="1" x14ac:dyDescent="0.25">
      <c r="C25" s="3207" t="s">
        <v>1386</v>
      </c>
      <c r="D25" s="3207"/>
      <c r="E25" s="3207"/>
      <c r="F25" s="3207"/>
    </row>
  </sheetData>
  <mergeCells count="12">
    <mergeCell ref="C25:F25"/>
    <mergeCell ref="A16:F16"/>
    <mergeCell ref="A2:F2"/>
    <mergeCell ref="A5:A6"/>
    <mergeCell ref="B5:B6"/>
    <mergeCell ref="C5:C6"/>
    <mergeCell ref="D5:F5"/>
    <mergeCell ref="A3:F3"/>
    <mergeCell ref="D4:F4"/>
    <mergeCell ref="C17:F17"/>
    <mergeCell ref="C19:F19"/>
    <mergeCell ref="C18:F18"/>
  </mergeCells>
  <pageMargins left="0.7" right="0.7" top="0.66" bottom="0.75" header="0.3" footer="0.3"/>
  <pageSetup paperSize="9" firstPageNumber="94" orientation="portrait" useFirstPageNumber="1" verticalDpi="0" r:id="rId1"/>
  <headerFooter>
    <oddFooter>&amp;C&amp;P</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428F7-AE81-4014-BDDE-ED818872F9AC}">
  <sheetPr>
    <tabColor theme="3" tint="0.39997558519241921"/>
  </sheetPr>
  <dimension ref="A1:BH184"/>
  <sheetViews>
    <sheetView view="pageBreakPreview" zoomScale="80" zoomScaleNormal="90" zoomScaleSheetLayoutView="80" workbookViewId="0">
      <pane xSplit="2" ySplit="8" topLeftCell="C9" activePane="bottomRight" state="frozen"/>
      <selection pane="topRight" activeCell="C1" sqref="C1"/>
      <selection pane="bottomLeft" activeCell="A9" sqref="A9"/>
      <selection pane="bottomRight" activeCell="K146" sqref="K146"/>
    </sheetView>
  </sheetViews>
  <sheetFormatPr defaultRowHeight="15.75" x14ac:dyDescent="0.2"/>
  <cols>
    <col min="1" max="1" width="6.7109375" style="2700" customWidth="1"/>
    <col min="2" max="2" width="30.85546875" style="2701" customWidth="1"/>
    <col min="3" max="3" width="13.85546875" style="2702" customWidth="1"/>
    <col min="4" max="9" width="7.5703125" style="2722" hidden="1" customWidth="1"/>
    <col min="10" max="10" width="11.5703125" style="2722" customWidth="1"/>
    <col min="11" max="11" width="13.85546875" style="2722" customWidth="1"/>
    <col min="12" max="12" width="16.42578125" style="2676" customWidth="1"/>
    <col min="13" max="13" width="15.140625" style="2722" customWidth="1"/>
    <col min="14" max="14" width="11.85546875" style="2722" customWidth="1"/>
    <col min="15" max="15" width="15.5703125" style="2722" customWidth="1"/>
    <col min="16" max="16" width="17" style="2723" customWidth="1"/>
    <col min="17" max="17" width="8.42578125" style="2723" customWidth="1"/>
    <col min="18" max="18" width="16.85546875" style="2723" customWidth="1"/>
    <col min="19" max="19" width="14.7109375" style="2676" customWidth="1"/>
    <col min="20" max="23" width="7.5703125" style="2723" hidden="1" customWidth="1"/>
    <col min="24" max="24" width="5.85546875" style="2723" hidden="1" customWidth="1"/>
    <col min="25" max="25" width="6.28515625" style="2723" hidden="1" customWidth="1"/>
    <col min="26" max="26" width="10.5703125" style="2722" customWidth="1"/>
    <col min="27" max="27" width="13.28515625" style="2722" customWidth="1"/>
    <col min="28" max="28" width="9.85546875" style="2722" customWidth="1"/>
    <col min="29" max="29" width="16.5703125" style="2722" customWidth="1"/>
    <col min="30" max="30" width="15.85546875" style="2676" customWidth="1"/>
    <col min="31" max="31" width="8.5703125" style="2724" customWidth="1"/>
    <col min="32" max="32" width="15.42578125" style="2722" customWidth="1"/>
    <col min="33" max="33" width="13.7109375" style="2676" customWidth="1"/>
    <col min="34" max="39" width="7.5703125" style="2722" hidden="1" customWidth="1"/>
    <col min="40" max="40" width="11.42578125" style="2722" customWidth="1"/>
    <col min="41" max="41" width="12.28515625" style="2722" customWidth="1"/>
    <col min="42" max="42" width="10.7109375" style="2722" customWidth="1"/>
    <col min="43" max="43" width="13.42578125" style="2722" customWidth="1"/>
    <col min="44" max="44" width="12.85546875" style="2722" customWidth="1"/>
    <col min="45" max="45" width="11.85546875" style="2722" hidden="1" customWidth="1"/>
    <col min="46" max="46" width="15.85546875" style="2704" hidden="1" customWidth="1"/>
    <col min="47" max="47" width="13.7109375" style="2704" hidden="1" customWidth="1"/>
    <col min="48" max="60" width="9.140625" style="2704"/>
    <col min="61" max="247" width="9.140625" style="2705"/>
    <col min="248" max="248" width="6.7109375" style="2705" customWidth="1"/>
    <col min="249" max="249" width="30.85546875" style="2705" customWidth="1"/>
    <col min="250" max="262" width="7.5703125" style="2705" customWidth="1"/>
    <col min="263" max="263" width="8.42578125" style="2705" customWidth="1"/>
    <col min="264" max="291" width="7.5703125" style="2705" customWidth="1"/>
    <col min="292" max="292" width="0" style="2705" hidden="1" customWidth="1"/>
    <col min="293" max="503" width="9.140625" style="2705"/>
    <col min="504" max="504" width="6.7109375" style="2705" customWidth="1"/>
    <col min="505" max="505" width="30.85546875" style="2705" customWidth="1"/>
    <col min="506" max="518" width="7.5703125" style="2705" customWidth="1"/>
    <col min="519" max="519" width="8.42578125" style="2705" customWidth="1"/>
    <col min="520" max="547" width="7.5703125" style="2705" customWidth="1"/>
    <col min="548" max="548" width="0" style="2705" hidden="1" customWidth="1"/>
    <col min="549" max="759" width="9.140625" style="2705"/>
    <col min="760" max="760" width="6.7109375" style="2705" customWidth="1"/>
    <col min="761" max="761" width="30.85546875" style="2705" customWidth="1"/>
    <col min="762" max="774" width="7.5703125" style="2705" customWidth="1"/>
    <col min="775" max="775" width="8.42578125" style="2705" customWidth="1"/>
    <col min="776" max="803" width="7.5703125" style="2705" customWidth="1"/>
    <col min="804" max="804" width="0" style="2705" hidden="1" customWidth="1"/>
    <col min="805" max="1015" width="9.140625" style="2705"/>
    <col min="1016" max="1016" width="6.7109375" style="2705" customWidth="1"/>
    <col min="1017" max="1017" width="30.85546875" style="2705" customWidth="1"/>
    <col min="1018" max="1030" width="7.5703125" style="2705" customWidth="1"/>
    <col min="1031" max="1031" width="8.42578125" style="2705" customWidth="1"/>
    <col min="1032" max="1059" width="7.5703125" style="2705" customWidth="1"/>
    <col min="1060" max="1060" width="0" style="2705" hidden="1" customWidth="1"/>
    <col min="1061" max="1271" width="9.140625" style="2705"/>
    <col min="1272" max="1272" width="6.7109375" style="2705" customWidth="1"/>
    <col min="1273" max="1273" width="30.85546875" style="2705" customWidth="1"/>
    <col min="1274" max="1286" width="7.5703125" style="2705" customWidth="1"/>
    <col min="1287" max="1287" width="8.42578125" style="2705" customWidth="1"/>
    <col min="1288" max="1315" width="7.5703125" style="2705" customWidth="1"/>
    <col min="1316" max="1316" width="0" style="2705" hidden="1" customWidth="1"/>
    <col min="1317" max="1527" width="9.140625" style="2705"/>
    <col min="1528" max="1528" width="6.7109375" style="2705" customWidth="1"/>
    <col min="1529" max="1529" width="30.85546875" style="2705" customWidth="1"/>
    <col min="1530" max="1542" width="7.5703125" style="2705" customWidth="1"/>
    <col min="1543" max="1543" width="8.42578125" style="2705" customWidth="1"/>
    <col min="1544" max="1571" width="7.5703125" style="2705" customWidth="1"/>
    <col min="1572" max="1572" width="0" style="2705" hidden="1" customWidth="1"/>
    <col min="1573" max="1783" width="9.140625" style="2705"/>
    <col min="1784" max="1784" width="6.7109375" style="2705" customWidth="1"/>
    <col min="1785" max="1785" width="30.85546875" style="2705" customWidth="1"/>
    <col min="1786" max="1798" width="7.5703125" style="2705" customWidth="1"/>
    <col min="1799" max="1799" width="8.42578125" style="2705" customWidth="1"/>
    <col min="1800" max="1827" width="7.5703125" style="2705" customWidth="1"/>
    <col min="1828" max="1828" width="0" style="2705" hidden="1" customWidth="1"/>
    <col min="1829" max="2039" width="9.140625" style="2705"/>
    <col min="2040" max="2040" width="6.7109375" style="2705" customWidth="1"/>
    <col min="2041" max="2041" width="30.85546875" style="2705" customWidth="1"/>
    <col min="2042" max="2054" width="7.5703125" style="2705" customWidth="1"/>
    <col min="2055" max="2055" width="8.42578125" style="2705" customWidth="1"/>
    <col min="2056" max="2083" width="7.5703125" style="2705" customWidth="1"/>
    <col min="2084" max="2084" width="0" style="2705" hidden="1" customWidth="1"/>
    <col min="2085" max="2295" width="9.140625" style="2705"/>
    <col min="2296" max="2296" width="6.7109375" style="2705" customWidth="1"/>
    <col min="2297" max="2297" width="30.85546875" style="2705" customWidth="1"/>
    <col min="2298" max="2310" width="7.5703125" style="2705" customWidth="1"/>
    <col min="2311" max="2311" width="8.42578125" style="2705" customWidth="1"/>
    <col min="2312" max="2339" width="7.5703125" style="2705" customWidth="1"/>
    <col min="2340" max="2340" width="0" style="2705" hidden="1" customWidth="1"/>
    <col min="2341" max="2551" width="9.140625" style="2705"/>
    <col min="2552" max="2552" width="6.7109375" style="2705" customWidth="1"/>
    <col min="2553" max="2553" width="30.85546875" style="2705" customWidth="1"/>
    <col min="2554" max="2566" width="7.5703125" style="2705" customWidth="1"/>
    <col min="2567" max="2567" width="8.42578125" style="2705" customWidth="1"/>
    <col min="2568" max="2595" width="7.5703125" style="2705" customWidth="1"/>
    <col min="2596" max="2596" width="0" style="2705" hidden="1" customWidth="1"/>
    <col min="2597" max="2807" width="9.140625" style="2705"/>
    <col min="2808" max="2808" width="6.7109375" style="2705" customWidth="1"/>
    <col min="2809" max="2809" width="30.85546875" style="2705" customWidth="1"/>
    <col min="2810" max="2822" width="7.5703125" style="2705" customWidth="1"/>
    <col min="2823" max="2823" width="8.42578125" style="2705" customWidth="1"/>
    <col min="2824" max="2851" width="7.5703125" style="2705" customWidth="1"/>
    <col min="2852" max="2852" width="0" style="2705" hidden="1" customWidth="1"/>
    <col min="2853" max="3063" width="9.140625" style="2705"/>
    <col min="3064" max="3064" width="6.7109375" style="2705" customWidth="1"/>
    <col min="3065" max="3065" width="30.85546875" style="2705" customWidth="1"/>
    <col min="3066" max="3078" width="7.5703125" style="2705" customWidth="1"/>
    <col min="3079" max="3079" width="8.42578125" style="2705" customWidth="1"/>
    <col min="3080" max="3107" width="7.5703125" style="2705" customWidth="1"/>
    <col min="3108" max="3108" width="0" style="2705" hidden="1" customWidth="1"/>
    <col min="3109" max="3319" width="9.140625" style="2705"/>
    <col min="3320" max="3320" width="6.7109375" style="2705" customWidth="1"/>
    <col min="3321" max="3321" width="30.85546875" style="2705" customWidth="1"/>
    <col min="3322" max="3334" width="7.5703125" style="2705" customWidth="1"/>
    <col min="3335" max="3335" width="8.42578125" style="2705" customWidth="1"/>
    <col min="3336" max="3363" width="7.5703125" style="2705" customWidth="1"/>
    <col min="3364" max="3364" width="0" style="2705" hidden="1" customWidth="1"/>
    <col min="3365" max="3575" width="9.140625" style="2705"/>
    <col min="3576" max="3576" width="6.7109375" style="2705" customWidth="1"/>
    <col min="3577" max="3577" width="30.85546875" style="2705" customWidth="1"/>
    <col min="3578" max="3590" width="7.5703125" style="2705" customWidth="1"/>
    <col min="3591" max="3591" width="8.42578125" style="2705" customWidth="1"/>
    <col min="3592" max="3619" width="7.5703125" style="2705" customWidth="1"/>
    <col min="3620" max="3620" width="0" style="2705" hidden="1" customWidth="1"/>
    <col min="3621" max="3831" width="9.140625" style="2705"/>
    <col min="3832" max="3832" width="6.7109375" style="2705" customWidth="1"/>
    <col min="3833" max="3833" width="30.85546875" style="2705" customWidth="1"/>
    <col min="3834" max="3846" width="7.5703125" style="2705" customWidth="1"/>
    <col min="3847" max="3847" width="8.42578125" style="2705" customWidth="1"/>
    <col min="3848" max="3875" width="7.5703125" style="2705" customWidth="1"/>
    <col min="3876" max="3876" width="0" style="2705" hidden="1" customWidth="1"/>
    <col min="3877" max="4087" width="9.140625" style="2705"/>
    <col min="4088" max="4088" width="6.7109375" style="2705" customWidth="1"/>
    <col min="4089" max="4089" width="30.85546875" style="2705" customWidth="1"/>
    <col min="4090" max="4102" width="7.5703125" style="2705" customWidth="1"/>
    <col min="4103" max="4103" width="8.42578125" style="2705" customWidth="1"/>
    <col min="4104" max="4131" width="7.5703125" style="2705" customWidth="1"/>
    <col min="4132" max="4132" width="0" style="2705" hidden="1" customWidth="1"/>
    <col min="4133" max="4343" width="9.140625" style="2705"/>
    <col min="4344" max="4344" width="6.7109375" style="2705" customWidth="1"/>
    <col min="4345" max="4345" width="30.85546875" style="2705" customWidth="1"/>
    <col min="4346" max="4358" width="7.5703125" style="2705" customWidth="1"/>
    <col min="4359" max="4359" width="8.42578125" style="2705" customWidth="1"/>
    <col min="4360" max="4387" width="7.5703125" style="2705" customWidth="1"/>
    <col min="4388" max="4388" width="0" style="2705" hidden="1" customWidth="1"/>
    <col min="4389" max="4599" width="9.140625" style="2705"/>
    <col min="4600" max="4600" width="6.7109375" style="2705" customWidth="1"/>
    <col min="4601" max="4601" width="30.85546875" style="2705" customWidth="1"/>
    <col min="4602" max="4614" width="7.5703125" style="2705" customWidth="1"/>
    <col min="4615" max="4615" width="8.42578125" style="2705" customWidth="1"/>
    <col min="4616" max="4643" width="7.5703125" style="2705" customWidth="1"/>
    <col min="4644" max="4644" width="0" style="2705" hidden="1" customWidth="1"/>
    <col min="4645" max="4855" width="9.140625" style="2705"/>
    <col min="4856" max="4856" width="6.7109375" style="2705" customWidth="1"/>
    <col min="4857" max="4857" width="30.85546875" style="2705" customWidth="1"/>
    <col min="4858" max="4870" width="7.5703125" style="2705" customWidth="1"/>
    <col min="4871" max="4871" width="8.42578125" style="2705" customWidth="1"/>
    <col min="4872" max="4899" width="7.5703125" style="2705" customWidth="1"/>
    <col min="4900" max="4900" width="0" style="2705" hidden="1" customWidth="1"/>
    <col min="4901" max="5111" width="9.140625" style="2705"/>
    <col min="5112" max="5112" width="6.7109375" style="2705" customWidth="1"/>
    <col min="5113" max="5113" width="30.85546875" style="2705" customWidth="1"/>
    <col min="5114" max="5126" width="7.5703125" style="2705" customWidth="1"/>
    <col min="5127" max="5127" width="8.42578125" style="2705" customWidth="1"/>
    <col min="5128" max="5155" width="7.5703125" style="2705" customWidth="1"/>
    <col min="5156" max="5156" width="0" style="2705" hidden="1" customWidth="1"/>
    <col min="5157" max="5367" width="9.140625" style="2705"/>
    <col min="5368" max="5368" width="6.7109375" style="2705" customWidth="1"/>
    <col min="5369" max="5369" width="30.85546875" style="2705" customWidth="1"/>
    <col min="5370" max="5382" width="7.5703125" style="2705" customWidth="1"/>
    <col min="5383" max="5383" width="8.42578125" style="2705" customWidth="1"/>
    <col min="5384" max="5411" width="7.5703125" style="2705" customWidth="1"/>
    <col min="5412" max="5412" width="0" style="2705" hidden="1" customWidth="1"/>
    <col min="5413" max="5623" width="9.140625" style="2705"/>
    <col min="5624" max="5624" width="6.7109375" style="2705" customWidth="1"/>
    <col min="5625" max="5625" width="30.85546875" style="2705" customWidth="1"/>
    <col min="5626" max="5638" width="7.5703125" style="2705" customWidth="1"/>
    <col min="5639" max="5639" width="8.42578125" style="2705" customWidth="1"/>
    <col min="5640" max="5667" width="7.5703125" style="2705" customWidth="1"/>
    <col min="5668" max="5668" width="0" style="2705" hidden="1" customWidth="1"/>
    <col min="5669" max="5879" width="9.140625" style="2705"/>
    <col min="5880" max="5880" width="6.7109375" style="2705" customWidth="1"/>
    <col min="5881" max="5881" width="30.85546875" style="2705" customWidth="1"/>
    <col min="5882" max="5894" width="7.5703125" style="2705" customWidth="1"/>
    <col min="5895" max="5895" width="8.42578125" style="2705" customWidth="1"/>
    <col min="5896" max="5923" width="7.5703125" style="2705" customWidth="1"/>
    <col min="5924" max="5924" width="0" style="2705" hidden="1" customWidth="1"/>
    <col min="5925" max="6135" width="9.140625" style="2705"/>
    <col min="6136" max="6136" width="6.7109375" style="2705" customWidth="1"/>
    <col min="6137" max="6137" width="30.85546875" style="2705" customWidth="1"/>
    <col min="6138" max="6150" width="7.5703125" style="2705" customWidth="1"/>
    <col min="6151" max="6151" width="8.42578125" style="2705" customWidth="1"/>
    <col min="6152" max="6179" width="7.5703125" style="2705" customWidth="1"/>
    <col min="6180" max="6180" width="0" style="2705" hidden="1" customWidth="1"/>
    <col min="6181" max="6391" width="9.140625" style="2705"/>
    <col min="6392" max="6392" width="6.7109375" style="2705" customWidth="1"/>
    <col min="6393" max="6393" width="30.85546875" style="2705" customWidth="1"/>
    <col min="6394" max="6406" width="7.5703125" style="2705" customWidth="1"/>
    <col min="6407" max="6407" width="8.42578125" style="2705" customWidth="1"/>
    <col min="6408" max="6435" width="7.5703125" style="2705" customWidth="1"/>
    <col min="6436" max="6436" width="0" style="2705" hidden="1" customWidth="1"/>
    <col min="6437" max="6647" width="9.140625" style="2705"/>
    <col min="6648" max="6648" width="6.7109375" style="2705" customWidth="1"/>
    <col min="6649" max="6649" width="30.85546875" style="2705" customWidth="1"/>
    <col min="6650" max="6662" width="7.5703125" style="2705" customWidth="1"/>
    <col min="6663" max="6663" width="8.42578125" style="2705" customWidth="1"/>
    <col min="6664" max="6691" width="7.5703125" style="2705" customWidth="1"/>
    <col min="6692" max="6692" width="0" style="2705" hidden="1" customWidth="1"/>
    <col min="6693" max="6903" width="9.140625" style="2705"/>
    <col min="6904" max="6904" width="6.7109375" style="2705" customWidth="1"/>
    <col min="6905" max="6905" width="30.85546875" style="2705" customWidth="1"/>
    <col min="6906" max="6918" width="7.5703125" style="2705" customWidth="1"/>
    <col min="6919" max="6919" width="8.42578125" style="2705" customWidth="1"/>
    <col min="6920" max="6947" width="7.5703125" style="2705" customWidth="1"/>
    <col min="6948" max="6948" width="0" style="2705" hidden="1" customWidth="1"/>
    <col min="6949" max="7159" width="9.140625" style="2705"/>
    <col min="7160" max="7160" width="6.7109375" style="2705" customWidth="1"/>
    <col min="7161" max="7161" width="30.85546875" style="2705" customWidth="1"/>
    <col min="7162" max="7174" width="7.5703125" style="2705" customWidth="1"/>
    <col min="7175" max="7175" width="8.42578125" style="2705" customWidth="1"/>
    <col min="7176" max="7203" width="7.5703125" style="2705" customWidth="1"/>
    <col min="7204" max="7204" width="0" style="2705" hidden="1" customWidth="1"/>
    <col min="7205" max="7415" width="9.140625" style="2705"/>
    <col min="7416" max="7416" width="6.7109375" style="2705" customWidth="1"/>
    <col min="7417" max="7417" width="30.85546875" style="2705" customWidth="1"/>
    <col min="7418" max="7430" width="7.5703125" style="2705" customWidth="1"/>
    <col min="7431" max="7431" width="8.42578125" style="2705" customWidth="1"/>
    <col min="7432" max="7459" width="7.5703125" style="2705" customWidth="1"/>
    <col min="7460" max="7460" width="0" style="2705" hidden="1" customWidth="1"/>
    <col min="7461" max="7671" width="9.140625" style="2705"/>
    <col min="7672" max="7672" width="6.7109375" style="2705" customWidth="1"/>
    <col min="7673" max="7673" width="30.85546875" style="2705" customWidth="1"/>
    <col min="7674" max="7686" width="7.5703125" style="2705" customWidth="1"/>
    <col min="7687" max="7687" width="8.42578125" style="2705" customWidth="1"/>
    <col min="7688" max="7715" width="7.5703125" style="2705" customWidth="1"/>
    <col min="7716" max="7716" width="0" style="2705" hidden="1" customWidth="1"/>
    <col min="7717" max="7927" width="9.140625" style="2705"/>
    <col min="7928" max="7928" width="6.7109375" style="2705" customWidth="1"/>
    <col min="7929" max="7929" width="30.85546875" style="2705" customWidth="1"/>
    <col min="7930" max="7942" width="7.5703125" style="2705" customWidth="1"/>
    <col min="7943" max="7943" width="8.42578125" style="2705" customWidth="1"/>
    <col min="7944" max="7971" width="7.5703125" style="2705" customWidth="1"/>
    <col min="7972" max="7972" width="0" style="2705" hidden="1" customWidth="1"/>
    <col min="7973" max="8183" width="9.140625" style="2705"/>
    <col min="8184" max="8184" width="6.7109375" style="2705" customWidth="1"/>
    <col min="8185" max="8185" width="30.85546875" style="2705" customWidth="1"/>
    <col min="8186" max="8198" width="7.5703125" style="2705" customWidth="1"/>
    <col min="8199" max="8199" width="8.42578125" style="2705" customWidth="1"/>
    <col min="8200" max="8227" width="7.5703125" style="2705" customWidth="1"/>
    <col min="8228" max="8228" width="0" style="2705" hidden="1" customWidth="1"/>
    <col min="8229" max="8439" width="9.140625" style="2705"/>
    <col min="8440" max="8440" width="6.7109375" style="2705" customWidth="1"/>
    <col min="8441" max="8441" width="30.85546875" style="2705" customWidth="1"/>
    <col min="8442" max="8454" width="7.5703125" style="2705" customWidth="1"/>
    <col min="8455" max="8455" width="8.42578125" style="2705" customWidth="1"/>
    <col min="8456" max="8483" width="7.5703125" style="2705" customWidth="1"/>
    <col min="8484" max="8484" width="0" style="2705" hidden="1" customWidth="1"/>
    <col min="8485" max="8695" width="9.140625" style="2705"/>
    <col min="8696" max="8696" width="6.7109375" style="2705" customWidth="1"/>
    <col min="8697" max="8697" width="30.85546875" style="2705" customWidth="1"/>
    <col min="8698" max="8710" width="7.5703125" style="2705" customWidth="1"/>
    <col min="8711" max="8711" width="8.42578125" style="2705" customWidth="1"/>
    <col min="8712" max="8739" width="7.5703125" style="2705" customWidth="1"/>
    <col min="8740" max="8740" width="0" style="2705" hidden="1" customWidth="1"/>
    <col min="8741" max="8951" width="9.140625" style="2705"/>
    <col min="8952" max="8952" width="6.7109375" style="2705" customWidth="1"/>
    <col min="8953" max="8953" width="30.85546875" style="2705" customWidth="1"/>
    <col min="8954" max="8966" width="7.5703125" style="2705" customWidth="1"/>
    <col min="8967" max="8967" width="8.42578125" style="2705" customWidth="1"/>
    <col min="8968" max="8995" width="7.5703125" style="2705" customWidth="1"/>
    <col min="8996" max="8996" width="0" style="2705" hidden="1" customWidth="1"/>
    <col min="8997" max="9207" width="9.140625" style="2705"/>
    <col min="9208" max="9208" width="6.7109375" style="2705" customWidth="1"/>
    <col min="9209" max="9209" width="30.85546875" style="2705" customWidth="1"/>
    <col min="9210" max="9222" width="7.5703125" style="2705" customWidth="1"/>
    <col min="9223" max="9223" width="8.42578125" style="2705" customWidth="1"/>
    <col min="9224" max="9251" width="7.5703125" style="2705" customWidth="1"/>
    <col min="9252" max="9252" width="0" style="2705" hidden="1" customWidth="1"/>
    <col min="9253" max="9463" width="9.140625" style="2705"/>
    <col min="9464" max="9464" width="6.7109375" style="2705" customWidth="1"/>
    <col min="9465" max="9465" width="30.85546875" style="2705" customWidth="1"/>
    <col min="9466" max="9478" width="7.5703125" style="2705" customWidth="1"/>
    <col min="9479" max="9479" width="8.42578125" style="2705" customWidth="1"/>
    <col min="9480" max="9507" width="7.5703125" style="2705" customWidth="1"/>
    <col min="9508" max="9508" width="0" style="2705" hidden="1" customWidth="1"/>
    <col min="9509" max="9719" width="9.140625" style="2705"/>
    <col min="9720" max="9720" width="6.7109375" style="2705" customWidth="1"/>
    <col min="9721" max="9721" width="30.85546875" style="2705" customWidth="1"/>
    <col min="9722" max="9734" width="7.5703125" style="2705" customWidth="1"/>
    <col min="9735" max="9735" width="8.42578125" style="2705" customWidth="1"/>
    <col min="9736" max="9763" width="7.5703125" style="2705" customWidth="1"/>
    <col min="9764" max="9764" width="0" style="2705" hidden="1" customWidth="1"/>
    <col min="9765" max="9975" width="9.140625" style="2705"/>
    <col min="9976" max="9976" width="6.7109375" style="2705" customWidth="1"/>
    <col min="9977" max="9977" width="30.85546875" style="2705" customWidth="1"/>
    <col min="9978" max="9990" width="7.5703125" style="2705" customWidth="1"/>
    <col min="9991" max="9991" width="8.42578125" style="2705" customWidth="1"/>
    <col min="9992" max="10019" width="7.5703125" style="2705" customWidth="1"/>
    <col min="10020" max="10020" width="0" style="2705" hidden="1" customWidth="1"/>
    <col min="10021" max="10231" width="9.140625" style="2705"/>
    <col min="10232" max="10232" width="6.7109375" style="2705" customWidth="1"/>
    <col min="10233" max="10233" width="30.85546875" style="2705" customWidth="1"/>
    <col min="10234" max="10246" width="7.5703125" style="2705" customWidth="1"/>
    <col min="10247" max="10247" width="8.42578125" style="2705" customWidth="1"/>
    <col min="10248" max="10275" width="7.5703125" style="2705" customWidth="1"/>
    <col min="10276" max="10276" width="0" style="2705" hidden="1" customWidth="1"/>
    <col min="10277" max="10487" width="9.140625" style="2705"/>
    <col min="10488" max="10488" width="6.7109375" style="2705" customWidth="1"/>
    <col min="10489" max="10489" width="30.85546875" style="2705" customWidth="1"/>
    <col min="10490" max="10502" width="7.5703125" style="2705" customWidth="1"/>
    <col min="10503" max="10503" width="8.42578125" style="2705" customWidth="1"/>
    <col min="10504" max="10531" width="7.5703125" style="2705" customWidth="1"/>
    <col min="10532" max="10532" width="0" style="2705" hidden="1" customWidth="1"/>
    <col min="10533" max="10743" width="9.140625" style="2705"/>
    <col min="10744" max="10744" width="6.7109375" style="2705" customWidth="1"/>
    <col min="10745" max="10745" width="30.85546875" style="2705" customWidth="1"/>
    <col min="10746" max="10758" width="7.5703125" style="2705" customWidth="1"/>
    <col min="10759" max="10759" width="8.42578125" style="2705" customWidth="1"/>
    <col min="10760" max="10787" width="7.5703125" style="2705" customWidth="1"/>
    <col min="10788" max="10788" width="0" style="2705" hidden="1" customWidth="1"/>
    <col min="10789" max="10999" width="9.140625" style="2705"/>
    <col min="11000" max="11000" width="6.7109375" style="2705" customWidth="1"/>
    <col min="11001" max="11001" width="30.85546875" style="2705" customWidth="1"/>
    <col min="11002" max="11014" width="7.5703125" style="2705" customWidth="1"/>
    <col min="11015" max="11015" width="8.42578125" style="2705" customWidth="1"/>
    <col min="11016" max="11043" width="7.5703125" style="2705" customWidth="1"/>
    <col min="11044" max="11044" width="0" style="2705" hidden="1" customWidth="1"/>
    <col min="11045" max="11255" width="9.140625" style="2705"/>
    <col min="11256" max="11256" width="6.7109375" style="2705" customWidth="1"/>
    <col min="11257" max="11257" width="30.85546875" style="2705" customWidth="1"/>
    <col min="11258" max="11270" width="7.5703125" style="2705" customWidth="1"/>
    <col min="11271" max="11271" width="8.42578125" style="2705" customWidth="1"/>
    <col min="11272" max="11299" width="7.5703125" style="2705" customWidth="1"/>
    <col min="11300" max="11300" width="0" style="2705" hidden="1" customWidth="1"/>
    <col min="11301" max="11511" width="9.140625" style="2705"/>
    <col min="11512" max="11512" width="6.7109375" style="2705" customWidth="1"/>
    <col min="11513" max="11513" width="30.85546875" style="2705" customWidth="1"/>
    <col min="11514" max="11526" width="7.5703125" style="2705" customWidth="1"/>
    <col min="11527" max="11527" width="8.42578125" style="2705" customWidth="1"/>
    <col min="11528" max="11555" width="7.5703125" style="2705" customWidth="1"/>
    <col min="11556" max="11556" width="0" style="2705" hidden="1" customWidth="1"/>
    <col min="11557" max="11767" width="9.140625" style="2705"/>
    <col min="11768" max="11768" width="6.7109375" style="2705" customWidth="1"/>
    <col min="11769" max="11769" width="30.85546875" style="2705" customWidth="1"/>
    <col min="11770" max="11782" width="7.5703125" style="2705" customWidth="1"/>
    <col min="11783" max="11783" width="8.42578125" style="2705" customWidth="1"/>
    <col min="11784" max="11811" width="7.5703125" style="2705" customWidth="1"/>
    <col min="11812" max="11812" width="0" style="2705" hidden="1" customWidth="1"/>
    <col min="11813" max="12023" width="9.140625" style="2705"/>
    <col min="12024" max="12024" width="6.7109375" style="2705" customWidth="1"/>
    <col min="12025" max="12025" width="30.85546875" style="2705" customWidth="1"/>
    <col min="12026" max="12038" width="7.5703125" style="2705" customWidth="1"/>
    <col min="12039" max="12039" width="8.42578125" style="2705" customWidth="1"/>
    <col min="12040" max="12067" width="7.5703125" style="2705" customWidth="1"/>
    <col min="12068" max="12068" width="0" style="2705" hidden="1" customWidth="1"/>
    <col min="12069" max="12279" width="9.140625" style="2705"/>
    <col min="12280" max="12280" width="6.7109375" style="2705" customWidth="1"/>
    <col min="12281" max="12281" width="30.85546875" style="2705" customWidth="1"/>
    <col min="12282" max="12294" width="7.5703125" style="2705" customWidth="1"/>
    <col min="12295" max="12295" width="8.42578125" style="2705" customWidth="1"/>
    <col min="12296" max="12323" width="7.5703125" style="2705" customWidth="1"/>
    <col min="12324" max="12324" width="0" style="2705" hidden="1" customWidth="1"/>
    <col min="12325" max="12535" width="9.140625" style="2705"/>
    <col min="12536" max="12536" width="6.7109375" style="2705" customWidth="1"/>
    <col min="12537" max="12537" width="30.85546875" style="2705" customWidth="1"/>
    <col min="12538" max="12550" width="7.5703125" style="2705" customWidth="1"/>
    <col min="12551" max="12551" width="8.42578125" style="2705" customWidth="1"/>
    <col min="12552" max="12579" width="7.5703125" style="2705" customWidth="1"/>
    <col min="12580" max="12580" width="0" style="2705" hidden="1" customWidth="1"/>
    <col min="12581" max="12791" width="9.140625" style="2705"/>
    <col min="12792" max="12792" width="6.7109375" style="2705" customWidth="1"/>
    <col min="12793" max="12793" width="30.85546875" style="2705" customWidth="1"/>
    <col min="12794" max="12806" width="7.5703125" style="2705" customWidth="1"/>
    <col min="12807" max="12807" width="8.42578125" style="2705" customWidth="1"/>
    <col min="12808" max="12835" width="7.5703125" style="2705" customWidth="1"/>
    <col min="12836" max="12836" width="0" style="2705" hidden="1" customWidth="1"/>
    <col min="12837" max="13047" width="9.140625" style="2705"/>
    <col min="13048" max="13048" width="6.7109375" style="2705" customWidth="1"/>
    <col min="13049" max="13049" width="30.85546875" style="2705" customWidth="1"/>
    <col min="13050" max="13062" width="7.5703125" style="2705" customWidth="1"/>
    <col min="13063" max="13063" width="8.42578125" style="2705" customWidth="1"/>
    <col min="13064" max="13091" width="7.5703125" style="2705" customWidth="1"/>
    <col min="13092" max="13092" width="0" style="2705" hidden="1" customWidth="1"/>
    <col min="13093" max="13303" width="9.140625" style="2705"/>
    <col min="13304" max="13304" width="6.7109375" style="2705" customWidth="1"/>
    <col min="13305" max="13305" width="30.85546875" style="2705" customWidth="1"/>
    <col min="13306" max="13318" width="7.5703125" style="2705" customWidth="1"/>
    <col min="13319" max="13319" width="8.42578125" style="2705" customWidth="1"/>
    <col min="13320" max="13347" width="7.5703125" style="2705" customWidth="1"/>
    <col min="13348" max="13348" width="0" style="2705" hidden="1" customWidth="1"/>
    <col min="13349" max="13559" width="9.140625" style="2705"/>
    <col min="13560" max="13560" width="6.7109375" style="2705" customWidth="1"/>
    <col min="13561" max="13561" width="30.85546875" style="2705" customWidth="1"/>
    <col min="13562" max="13574" width="7.5703125" style="2705" customWidth="1"/>
    <col min="13575" max="13575" width="8.42578125" style="2705" customWidth="1"/>
    <col min="13576" max="13603" width="7.5703125" style="2705" customWidth="1"/>
    <col min="13604" max="13604" width="0" style="2705" hidden="1" customWidth="1"/>
    <col min="13605" max="13815" width="9.140625" style="2705"/>
    <col min="13816" max="13816" width="6.7109375" style="2705" customWidth="1"/>
    <col min="13817" max="13817" width="30.85546875" style="2705" customWidth="1"/>
    <col min="13818" max="13830" width="7.5703125" style="2705" customWidth="1"/>
    <col min="13831" max="13831" width="8.42578125" style="2705" customWidth="1"/>
    <col min="13832" max="13859" width="7.5703125" style="2705" customWidth="1"/>
    <col min="13860" max="13860" width="0" style="2705" hidden="1" customWidth="1"/>
    <col min="13861" max="14071" width="9.140625" style="2705"/>
    <col min="14072" max="14072" width="6.7109375" style="2705" customWidth="1"/>
    <col min="14073" max="14073" width="30.85546875" style="2705" customWidth="1"/>
    <col min="14074" max="14086" width="7.5703125" style="2705" customWidth="1"/>
    <col min="14087" max="14087" width="8.42578125" style="2705" customWidth="1"/>
    <col min="14088" max="14115" width="7.5703125" style="2705" customWidth="1"/>
    <col min="14116" max="14116" width="0" style="2705" hidden="1" customWidth="1"/>
    <col min="14117" max="14327" width="9.140625" style="2705"/>
    <col min="14328" max="14328" width="6.7109375" style="2705" customWidth="1"/>
    <col min="14329" max="14329" width="30.85546875" style="2705" customWidth="1"/>
    <col min="14330" max="14342" width="7.5703125" style="2705" customWidth="1"/>
    <col min="14343" max="14343" width="8.42578125" style="2705" customWidth="1"/>
    <col min="14344" max="14371" width="7.5703125" style="2705" customWidth="1"/>
    <col min="14372" max="14372" width="0" style="2705" hidden="1" customWidth="1"/>
    <col min="14373" max="14583" width="9.140625" style="2705"/>
    <col min="14584" max="14584" width="6.7109375" style="2705" customWidth="1"/>
    <col min="14585" max="14585" width="30.85546875" style="2705" customWidth="1"/>
    <col min="14586" max="14598" width="7.5703125" style="2705" customWidth="1"/>
    <col min="14599" max="14599" width="8.42578125" style="2705" customWidth="1"/>
    <col min="14600" max="14627" width="7.5703125" style="2705" customWidth="1"/>
    <col min="14628" max="14628" width="0" style="2705" hidden="1" customWidth="1"/>
    <col min="14629" max="14839" width="9.140625" style="2705"/>
    <col min="14840" max="14840" width="6.7109375" style="2705" customWidth="1"/>
    <col min="14841" max="14841" width="30.85546875" style="2705" customWidth="1"/>
    <col min="14842" max="14854" width="7.5703125" style="2705" customWidth="1"/>
    <col min="14855" max="14855" width="8.42578125" style="2705" customWidth="1"/>
    <col min="14856" max="14883" width="7.5703125" style="2705" customWidth="1"/>
    <col min="14884" max="14884" width="0" style="2705" hidden="1" customWidth="1"/>
    <col min="14885" max="15095" width="9.140625" style="2705"/>
    <col min="15096" max="15096" width="6.7109375" style="2705" customWidth="1"/>
    <col min="15097" max="15097" width="30.85546875" style="2705" customWidth="1"/>
    <col min="15098" max="15110" width="7.5703125" style="2705" customWidth="1"/>
    <col min="15111" max="15111" width="8.42578125" style="2705" customWidth="1"/>
    <col min="15112" max="15139" width="7.5703125" style="2705" customWidth="1"/>
    <col min="15140" max="15140" width="0" style="2705" hidden="1" customWidth="1"/>
    <col min="15141" max="15351" width="9.140625" style="2705"/>
    <col min="15352" max="15352" width="6.7109375" style="2705" customWidth="1"/>
    <col min="15353" max="15353" width="30.85546875" style="2705" customWidth="1"/>
    <col min="15354" max="15366" width="7.5703125" style="2705" customWidth="1"/>
    <col min="15367" max="15367" width="8.42578125" style="2705" customWidth="1"/>
    <col min="15368" max="15395" width="7.5703125" style="2705" customWidth="1"/>
    <col min="15396" max="15396" width="0" style="2705" hidden="1" customWidth="1"/>
    <col min="15397" max="15607" width="9.140625" style="2705"/>
    <col min="15608" max="15608" width="6.7109375" style="2705" customWidth="1"/>
    <col min="15609" max="15609" width="30.85546875" style="2705" customWidth="1"/>
    <col min="15610" max="15622" width="7.5703125" style="2705" customWidth="1"/>
    <col min="15623" max="15623" width="8.42578125" style="2705" customWidth="1"/>
    <col min="15624" max="15651" width="7.5703125" style="2705" customWidth="1"/>
    <col min="15652" max="15652" width="0" style="2705" hidden="1" customWidth="1"/>
    <col min="15653" max="15863" width="9.140625" style="2705"/>
    <col min="15864" max="15864" width="6.7109375" style="2705" customWidth="1"/>
    <col min="15865" max="15865" width="30.85546875" style="2705" customWidth="1"/>
    <col min="15866" max="15878" width="7.5703125" style="2705" customWidth="1"/>
    <col min="15879" max="15879" width="8.42578125" style="2705" customWidth="1"/>
    <col min="15880" max="15907" width="7.5703125" style="2705" customWidth="1"/>
    <col min="15908" max="15908" width="0" style="2705" hidden="1" customWidth="1"/>
    <col min="15909" max="16119" width="9.140625" style="2705"/>
    <col min="16120" max="16120" width="6.7109375" style="2705" customWidth="1"/>
    <col min="16121" max="16121" width="30.85546875" style="2705" customWidth="1"/>
    <col min="16122" max="16134" width="7.5703125" style="2705" customWidth="1"/>
    <col min="16135" max="16135" width="8.42578125" style="2705" customWidth="1"/>
    <col min="16136" max="16163" width="7.5703125" style="2705" customWidth="1"/>
    <col min="16164" max="16164" width="0" style="2705" hidden="1" customWidth="1"/>
    <col min="16165" max="16384" width="9.140625" style="2705"/>
  </cols>
  <sheetData>
    <row r="1" spans="1:60" s="2699" customFormat="1" ht="20.100000000000001" customHeight="1" x14ac:dyDescent="0.25">
      <c r="A1" s="3376"/>
      <c r="B1" s="3376"/>
      <c r="C1" s="2694"/>
      <c r="D1" s="2695"/>
      <c r="E1" s="2695"/>
      <c r="F1" s="2695"/>
      <c r="G1" s="2695"/>
      <c r="H1" s="2695"/>
      <c r="I1" s="2695"/>
      <c r="J1" s="2695"/>
      <c r="K1" s="2695"/>
      <c r="L1" s="2696"/>
      <c r="M1" s="2695"/>
      <c r="N1" s="2695"/>
      <c r="O1" s="2695"/>
      <c r="P1" s="2697"/>
      <c r="Q1" s="2697"/>
      <c r="R1" s="2697"/>
      <c r="S1" s="2696"/>
      <c r="T1" s="2697"/>
      <c r="U1" s="2697"/>
      <c r="V1" s="2697"/>
      <c r="W1" s="2697"/>
      <c r="X1" s="2697"/>
      <c r="Y1" s="2697"/>
      <c r="Z1" s="2695"/>
      <c r="AA1" s="2695"/>
      <c r="AB1" s="2695"/>
      <c r="AC1" s="2698"/>
      <c r="AD1" s="2698"/>
      <c r="AE1" s="2698"/>
      <c r="AF1" s="2698"/>
      <c r="AG1" s="2698"/>
      <c r="AH1" s="2698"/>
      <c r="AI1" s="2698"/>
      <c r="AJ1" s="2698"/>
      <c r="AK1" s="2698"/>
      <c r="AL1" s="2698"/>
      <c r="AM1" s="2698"/>
      <c r="AN1" s="2698"/>
      <c r="AO1" s="2698"/>
      <c r="AP1" s="2698"/>
      <c r="AQ1" s="3380" t="s">
        <v>2352</v>
      </c>
      <c r="AR1" s="3380"/>
      <c r="AS1" s="2698"/>
      <c r="AT1" s="2698"/>
      <c r="AU1" s="2698"/>
      <c r="AV1" s="2698"/>
      <c r="AW1" s="2698"/>
      <c r="AX1" s="2698"/>
      <c r="AY1" s="2698"/>
      <c r="AZ1" s="2698"/>
      <c r="BA1" s="2698"/>
      <c r="BB1" s="2698"/>
      <c r="BC1" s="2698"/>
      <c r="BD1" s="2698"/>
      <c r="BE1" s="2698"/>
      <c r="BF1" s="2698"/>
      <c r="BG1" s="2698"/>
      <c r="BH1" s="2698"/>
    </row>
    <row r="2" spans="1:60" s="2699" customFormat="1" ht="19.5" customHeight="1" x14ac:dyDescent="0.25">
      <c r="A2" s="3377" t="s">
        <v>1097</v>
      </c>
      <c r="B2" s="3377"/>
      <c r="C2" s="3377"/>
      <c r="D2" s="3377"/>
      <c r="E2" s="3377"/>
      <c r="F2" s="3377"/>
      <c r="G2" s="3377"/>
      <c r="H2" s="3377"/>
      <c r="I2" s="3377"/>
      <c r="J2" s="3377"/>
      <c r="K2" s="3377"/>
      <c r="L2" s="3377"/>
      <c r="M2" s="3377"/>
      <c r="N2" s="3377"/>
      <c r="O2" s="3377"/>
      <c r="P2" s="3377"/>
      <c r="Q2" s="3377"/>
      <c r="R2" s="3377"/>
      <c r="S2" s="3377"/>
      <c r="T2" s="3377"/>
      <c r="U2" s="3377"/>
      <c r="V2" s="3377"/>
      <c r="W2" s="3377"/>
      <c r="X2" s="3377"/>
      <c r="Y2" s="3377"/>
      <c r="Z2" s="3377"/>
      <c r="AA2" s="3377"/>
      <c r="AB2" s="3377"/>
      <c r="AC2" s="3377"/>
      <c r="AD2" s="3377"/>
      <c r="AE2" s="3377"/>
      <c r="AF2" s="3377"/>
      <c r="AG2" s="3377"/>
      <c r="AH2" s="3377"/>
      <c r="AI2" s="3377"/>
      <c r="AJ2" s="3377"/>
      <c r="AK2" s="3377"/>
      <c r="AL2" s="3377"/>
      <c r="AM2" s="3377"/>
      <c r="AN2" s="3377"/>
      <c r="AO2" s="3377"/>
      <c r="AP2" s="3377"/>
      <c r="AQ2" s="3377"/>
      <c r="AR2" s="3377"/>
      <c r="AS2" s="3377"/>
      <c r="AT2" s="2698"/>
      <c r="AU2" s="2698"/>
      <c r="AV2" s="2698"/>
      <c r="AW2" s="2698"/>
      <c r="AX2" s="2698"/>
      <c r="AY2" s="2698"/>
      <c r="AZ2" s="2698"/>
      <c r="BA2" s="2698"/>
      <c r="BB2" s="2698"/>
      <c r="BC2" s="2698"/>
      <c r="BD2" s="2698"/>
      <c r="BE2" s="2698"/>
      <c r="BF2" s="2698"/>
      <c r="BG2" s="2698"/>
      <c r="BH2" s="2698"/>
    </row>
    <row r="3" spans="1:60" s="2699" customFormat="1" ht="19.5" customHeight="1" x14ac:dyDescent="0.25">
      <c r="A3" s="3378" t="str">
        <f>'MS 04'!A3:F3</f>
        <v>(Kèm theo Quyết định số          /QĐ-UBND ngày          /4/2026 của UBND phường Bắc Kạn)</v>
      </c>
      <c r="B3" s="3378"/>
      <c r="C3" s="3378"/>
      <c r="D3" s="3378"/>
      <c r="E3" s="3378"/>
      <c r="F3" s="3378"/>
      <c r="G3" s="3378"/>
      <c r="H3" s="3378"/>
      <c r="I3" s="3378"/>
      <c r="J3" s="3378"/>
      <c r="K3" s="3378"/>
      <c r="L3" s="3378"/>
      <c r="M3" s="3378"/>
      <c r="N3" s="3378"/>
      <c r="O3" s="3378"/>
      <c r="P3" s="3378"/>
      <c r="Q3" s="3378"/>
      <c r="R3" s="3378"/>
      <c r="S3" s="3378"/>
      <c r="T3" s="3378"/>
      <c r="U3" s="3378"/>
      <c r="V3" s="3378"/>
      <c r="W3" s="3378"/>
      <c r="X3" s="3378"/>
      <c r="Y3" s="3378"/>
      <c r="Z3" s="3378"/>
      <c r="AA3" s="3378"/>
      <c r="AB3" s="3378"/>
      <c r="AC3" s="3378"/>
      <c r="AD3" s="3378"/>
      <c r="AE3" s="3378"/>
      <c r="AF3" s="3378"/>
      <c r="AG3" s="3378"/>
      <c r="AH3" s="3378"/>
      <c r="AI3" s="3378"/>
      <c r="AJ3" s="3378"/>
      <c r="AK3" s="3378"/>
      <c r="AL3" s="3378"/>
      <c r="AM3" s="3378"/>
      <c r="AN3" s="3378"/>
      <c r="AO3" s="3378"/>
      <c r="AP3" s="3378"/>
      <c r="AQ3" s="3378"/>
      <c r="AR3" s="3378"/>
      <c r="AS3" s="3378"/>
      <c r="AT3" s="2698"/>
      <c r="AU3" s="2698"/>
      <c r="AV3" s="2698"/>
      <c r="AW3" s="2698"/>
      <c r="AX3" s="2698"/>
      <c r="AY3" s="2698"/>
      <c r="AZ3" s="2698"/>
      <c r="BA3" s="2698"/>
      <c r="BB3" s="2698"/>
      <c r="BC3" s="2698"/>
      <c r="BD3" s="2698"/>
      <c r="BE3" s="2698"/>
      <c r="BF3" s="2698"/>
      <c r="BG3" s="2698"/>
      <c r="BH3" s="2698"/>
    </row>
    <row r="4" spans="1:60" ht="25.5" customHeight="1" x14ac:dyDescent="0.25">
      <c r="B4" s="3049">
        <f>C9+L9</f>
        <v>113590601.832</v>
      </c>
      <c r="C4" s="3050"/>
      <c r="D4" s="3051"/>
      <c r="E4" s="3051"/>
      <c r="F4" s="3051"/>
      <c r="G4" s="3051"/>
      <c r="H4" s="3051"/>
      <c r="I4" s="3051"/>
      <c r="J4" s="3051"/>
      <c r="K4" s="3052"/>
      <c r="L4" s="3053"/>
      <c r="M4" s="3051"/>
      <c r="N4" s="3051"/>
      <c r="O4" s="3054"/>
      <c r="P4" s="3055">
        <f>P171+P172</f>
        <v>0</v>
      </c>
      <c r="Q4" s="3055"/>
      <c r="R4" s="3056"/>
      <c r="S4" s="3053">
        <f>S9+AD9+AG9+AR9</f>
        <v>113590393.26900002</v>
      </c>
      <c r="T4" s="3057"/>
      <c r="U4" s="3055"/>
      <c r="V4" s="3055"/>
      <c r="W4" s="3055"/>
      <c r="X4" s="3055"/>
      <c r="Y4" s="3055"/>
      <c r="Z4" s="3051"/>
      <c r="AA4" s="3051"/>
      <c r="AB4" s="3051"/>
      <c r="AC4" s="3051">
        <f>B4-S4</f>
        <v>208.56299997866154</v>
      </c>
      <c r="AD4" s="1268"/>
      <c r="AE4" s="2771"/>
      <c r="AF4" s="2675"/>
      <c r="AG4" s="2703"/>
      <c r="AH4" s="2675"/>
      <c r="AI4" s="2675"/>
      <c r="AJ4" s="2675"/>
      <c r="AK4" s="2675"/>
      <c r="AL4" s="2675"/>
      <c r="AM4" s="2675"/>
      <c r="AN4" s="2675"/>
      <c r="AO4" s="2675"/>
      <c r="AP4" s="3379" t="s">
        <v>982</v>
      </c>
      <c r="AQ4" s="3379"/>
      <c r="AR4" s="3379"/>
      <c r="AS4" s="3379"/>
    </row>
    <row r="5" spans="1:60" s="2707" customFormat="1" ht="27" customHeight="1" x14ac:dyDescent="0.25">
      <c r="A5" s="3361" t="s">
        <v>0</v>
      </c>
      <c r="B5" s="3361" t="s">
        <v>110</v>
      </c>
      <c r="C5" s="3362" t="s">
        <v>1098</v>
      </c>
      <c r="D5" s="3363"/>
      <c r="E5" s="3363"/>
      <c r="F5" s="3363"/>
      <c r="G5" s="3363"/>
      <c r="H5" s="3363"/>
      <c r="I5" s="3363"/>
      <c r="J5" s="3363"/>
      <c r="K5" s="3364"/>
      <c r="L5" s="3362" t="s">
        <v>1099</v>
      </c>
      <c r="M5" s="3363"/>
      <c r="N5" s="3363"/>
      <c r="O5" s="3363"/>
      <c r="P5" s="3363"/>
      <c r="Q5" s="3363"/>
      <c r="R5" s="3364"/>
      <c r="S5" s="3365" t="s">
        <v>1100</v>
      </c>
      <c r="T5" s="3365"/>
      <c r="U5" s="3365"/>
      <c r="V5" s="3365"/>
      <c r="W5" s="3365"/>
      <c r="X5" s="3365"/>
      <c r="Y5" s="3365"/>
      <c r="Z5" s="3365"/>
      <c r="AA5" s="3365"/>
      <c r="AB5" s="3365"/>
      <c r="AC5" s="3365"/>
      <c r="AD5" s="3388" t="s">
        <v>1101</v>
      </c>
      <c r="AE5" s="3388"/>
      <c r="AF5" s="3388"/>
      <c r="AG5" s="3362" t="s">
        <v>1102</v>
      </c>
      <c r="AH5" s="3363"/>
      <c r="AI5" s="3363"/>
      <c r="AJ5" s="3363"/>
      <c r="AK5" s="3363"/>
      <c r="AL5" s="3363"/>
      <c r="AM5" s="3363"/>
      <c r="AN5" s="3363"/>
      <c r="AO5" s="3363"/>
      <c r="AP5" s="3363"/>
      <c r="AQ5" s="3364"/>
      <c r="AR5" s="3381" t="s">
        <v>1103</v>
      </c>
      <c r="AS5" s="3374" t="s">
        <v>1104</v>
      </c>
      <c r="AT5" s="2706"/>
      <c r="AU5" s="2706"/>
      <c r="AV5" s="2706"/>
      <c r="AW5" s="2706"/>
      <c r="AX5" s="2706"/>
      <c r="AY5" s="2706"/>
      <c r="AZ5" s="2706"/>
      <c r="BA5" s="2706"/>
      <c r="BB5" s="2706"/>
      <c r="BC5" s="2706"/>
      <c r="BD5" s="2706"/>
      <c r="BE5" s="2706"/>
      <c r="BF5" s="2706"/>
      <c r="BG5" s="2706"/>
      <c r="BH5" s="2706"/>
    </row>
    <row r="6" spans="1:60" s="2693" customFormat="1" ht="33" customHeight="1" x14ac:dyDescent="0.25">
      <c r="A6" s="3361"/>
      <c r="B6" s="3361"/>
      <c r="C6" s="3384" t="s">
        <v>13</v>
      </c>
      <c r="D6" s="3374" t="s">
        <v>1105</v>
      </c>
      <c r="E6" s="3374"/>
      <c r="F6" s="3374" t="s">
        <v>1106</v>
      </c>
      <c r="G6" s="3374"/>
      <c r="H6" s="3374" t="s">
        <v>1107</v>
      </c>
      <c r="I6" s="3374"/>
      <c r="J6" s="3374" t="s">
        <v>1108</v>
      </c>
      <c r="K6" s="3374"/>
      <c r="L6" s="3384" t="s">
        <v>13</v>
      </c>
      <c r="M6" s="3374" t="s">
        <v>590</v>
      </c>
      <c r="N6" s="3374"/>
      <c r="O6" s="3374"/>
      <c r="P6" s="3375" t="s">
        <v>1109</v>
      </c>
      <c r="Q6" s="3375"/>
      <c r="R6" s="3375"/>
      <c r="S6" s="3389" t="s">
        <v>13</v>
      </c>
      <c r="T6" s="3386" t="s">
        <v>1110</v>
      </c>
      <c r="U6" s="3387"/>
      <c r="V6" s="3386" t="s">
        <v>1111</v>
      </c>
      <c r="W6" s="3387"/>
      <c r="X6" s="3386" t="s">
        <v>1112</v>
      </c>
      <c r="Y6" s="3387"/>
      <c r="Z6" s="3366" t="s">
        <v>1113</v>
      </c>
      <c r="AA6" s="3367"/>
      <c r="AB6" s="3366" t="s">
        <v>1114</v>
      </c>
      <c r="AC6" s="3367"/>
      <c r="AD6" s="3368" t="s">
        <v>13</v>
      </c>
      <c r="AE6" s="3370" t="s">
        <v>494</v>
      </c>
      <c r="AF6" s="3372" t="s">
        <v>535</v>
      </c>
      <c r="AG6" s="3368" t="s">
        <v>13</v>
      </c>
      <c r="AH6" s="3366" t="s">
        <v>1115</v>
      </c>
      <c r="AI6" s="3367"/>
      <c r="AJ6" s="3366" t="s">
        <v>668</v>
      </c>
      <c r="AK6" s="3367"/>
      <c r="AL6" s="3366" t="s">
        <v>709</v>
      </c>
      <c r="AM6" s="3367"/>
      <c r="AN6" s="3366" t="s">
        <v>754</v>
      </c>
      <c r="AO6" s="3367"/>
      <c r="AP6" s="3366" t="s">
        <v>1048</v>
      </c>
      <c r="AQ6" s="3367"/>
      <c r="AR6" s="3382"/>
      <c r="AS6" s="3374"/>
      <c r="AT6" s="2708"/>
      <c r="AU6" s="2708"/>
      <c r="AV6" s="2708"/>
      <c r="AW6" s="2708"/>
      <c r="AX6" s="2708"/>
      <c r="AY6" s="2708"/>
      <c r="AZ6" s="2708"/>
      <c r="BA6" s="2708"/>
      <c r="BB6" s="2708"/>
      <c r="BC6" s="2708"/>
      <c r="BD6" s="2708"/>
      <c r="BE6" s="2708"/>
      <c r="BF6" s="2708"/>
      <c r="BG6" s="2708"/>
      <c r="BH6" s="2708"/>
    </row>
    <row r="7" spans="1:60" s="2693" customFormat="1" ht="33" customHeight="1" x14ac:dyDescent="0.25">
      <c r="A7" s="3361"/>
      <c r="B7" s="3361"/>
      <c r="C7" s="3385"/>
      <c r="D7" s="1273" t="s">
        <v>494</v>
      </c>
      <c r="E7" s="1273" t="s">
        <v>535</v>
      </c>
      <c r="F7" s="1273" t="s">
        <v>494</v>
      </c>
      <c r="G7" s="1273" t="s">
        <v>535</v>
      </c>
      <c r="H7" s="1273" t="s">
        <v>494</v>
      </c>
      <c r="I7" s="1273" t="s">
        <v>535</v>
      </c>
      <c r="J7" s="1273" t="s">
        <v>494</v>
      </c>
      <c r="K7" s="1273" t="s">
        <v>535</v>
      </c>
      <c r="L7" s="3385"/>
      <c r="M7" s="1273" t="s">
        <v>586</v>
      </c>
      <c r="N7" s="1273" t="s">
        <v>494</v>
      </c>
      <c r="O7" s="1273" t="s">
        <v>535</v>
      </c>
      <c r="P7" s="2559" t="s">
        <v>586</v>
      </c>
      <c r="Q7" s="2559" t="s">
        <v>494</v>
      </c>
      <c r="R7" s="2559" t="s">
        <v>535</v>
      </c>
      <c r="S7" s="3389"/>
      <c r="T7" s="2559" t="s">
        <v>494</v>
      </c>
      <c r="U7" s="2559" t="s">
        <v>535</v>
      </c>
      <c r="V7" s="2559" t="s">
        <v>494</v>
      </c>
      <c r="W7" s="2559" t="s">
        <v>535</v>
      </c>
      <c r="X7" s="2559" t="s">
        <v>494</v>
      </c>
      <c r="Y7" s="2559" t="s">
        <v>535</v>
      </c>
      <c r="Z7" s="1273" t="s">
        <v>494</v>
      </c>
      <c r="AA7" s="1273" t="s">
        <v>535</v>
      </c>
      <c r="AB7" s="1273" t="s">
        <v>494</v>
      </c>
      <c r="AC7" s="1273" t="s">
        <v>535</v>
      </c>
      <c r="AD7" s="3369"/>
      <c r="AE7" s="3371"/>
      <c r="AF7" s="3373"/>
      <c r="AG7" s="3369"/>
      <c r="AH7" s="1273" t="s">
        <v>494</v>
      </c>
      <c r="AI7" s="1273" t="s">
        <v>535</v>
      </c>
      <c r="AJ7" s="1273" t="s">
        <v>494</v>
      </c>
      <c r="AK7" s="1273" t="s">
        <v>535</v>
      </c>
      <c r="AL7" s="1273" t="s">
        <v>494</v>
      </c>
      <c r="AM7" s="1273" t="s">
        <v>535</v>
      </c>
      <c r="AN7" s="1273" t="s">
        <v>494</v>
      </c>
      <c r="AO7" s="1273" t="s">
        <v>535</v>
      </c>
      <c r="AP7" s="1273" t="s">
        <v>494</v>
      </c>
      <c r="AQ7" s="1273" t="s">
        <v>535</v>
      </c>
      <c r="AR7" s="3383"/>
      <c r="AS7" s="3374"/>
      <c r="AT7" s="2708"/>
      <c r="AU7" s="2708"/>
      <c r="AV7" s="2708"/>
      <c r="AW7" s="2708"/>
      <c r="AX7" s="2708"/>
      <c r="AY7" s="2708"/>
      <c r="AZ7" s="2708"/>
      <c r="BA7" s="2708"/>
      <c r="BB7" s="2708"/>
      <c r="BC7" s="2708"/>
      <c r="BD7" s="2708"/>
      <c r="BE7" s="2708"/>
      <c r="BF7" s="2708"/>
      <c r="BG7" s="2708"/>
      <c r="BH7" s="2708"/>
    </row>
    <row r="8" spans="1:60" s="2714" customFormat="1" ht="30.75" customHeight="1" x14ac:dyDescent="0.25">
      <c r="A8" s="2709" t="s">
        <v>3</v>
      </c>
      <c r="B8" s="2709" t="s">
        <v>4</v>
      </c>
      <c r="C8" s="2710">
        <v>1</v>
      </c>
      <c r="D8" s="1280">
        <v>2</v>
      </c>
      <c r="E8" s="1280">
        <v>3</v>
      </c>
      <c r="F8" s="2711">
        <v>4</v>
      </c>
      <c r="G8" s="1280">
        <v>5</v>
      </c>
      <c r="H8" s="2710">
        <v>6</v>
      </c>
      <c r="I8" s="1280">
        <v>7</v>
      </c>
      <c r="J8" s="1280">
        <v>8</v>
      </c>
      <c r="K8" s="2711">
        <v>9</v>
      </c>
      <c r="L8" s="1280">
        <v>10</v>
      </c>
      <c r="M8" s="2710">
        <v>11</v>
      </c>
      <c r="N8" s="1280">
        <v>12</v>
      </c>
      <c r="O8" s="1280">
        <v>13</v>
      </c>
      <c r="P8" s="2562">
        <v>14</v>
      </c>
      <c r="Q8" s="2562">
        <v>15</v>
      </c>
      <c r="R8" s="2712">
        <v>16</v>
      </c>
      <c r="S8" s="2774">
        <v>17</v>
      </c>
      <c r="T8" s="2562">
        <v>18</v>
      </c>
      <c r="U8" s="2562">
        <v>19</v>
      </c>
      <c r="V8" s="2562">
        <v>20</v>
      </c>
      <c r="W8" s="2712">
        <v>21</v>
      </c>
      <c r="X8" s="2562">
        <v>22</v>
      </c>
      <c r="Y8" s="2562">
        <v>23</v>
      </c>
      <c r="Z8" s="2775">
        <v>24</v>
      </c>
      <c r="AA8" s="2774">
        <v>25</v>
      </c>
      <c r="AB8" s="2776">
        <v>26</v>
      </c>
      <c r="AC8" s="2774">
        <v>27</v>
      </c>
      <c r="AD8" s="2774">
        <v>28</v>
      </c>
      <c r="AE8" s="2562">
        <v>29</v>
      </c>
      <c r="AF8" s="1280">
        <v>30</v>
      </c>
      <c r="AG8" s="2710">
        <v>31</v>
      </c>
      <c r="AH8" s="1280">
        <v>32</v>
      </c>
      <c r="AI8" s="1280">
        <v>33</v>
      </c>
      <c r="AJ8" s="2711">
        <v>34</v>
      </c>
      <c r="AK8" s="1280">
        <v>35</v>
      </c>
      <c r="AL8" s="2710">
        <v>36</v>
      </c>
      <c r="AM8" s="1280">
        <v>37</v>
      </c>
      <c r="AN8" s="1280">
        <v>38</v>
      </c>
      <c r="AO8" s="2711">
        <v>39</v>
      </c>
      <c r="AP8" s="1280">
        <v>40</v>
      </c>
      <c r="AQ8" s="2710">
        <v>41</v>
      </c>
      <c r="AR8" s="1280">
        <v>42</v>
      </c>
      <c r="AS8" s="1280">
        <v>43</v>
      </c>
      <c r="AT8" s="2713"/>
      <c r="AU8" s="2713"/>
      <c r="AV8" s="2713"/>
      <c r="AW8" s="2713"/>
      <c r="AX8" s="2713"/>
      <c r="AY8" s="2713"/>
      <c r="AZ8" s="2713"/>
      <c r="BA8" s="2713"/>
      <c r="BB8" s="2713"/>
      <c r="BC8" s="2713"/>
      <c r="BD8" s="2713"/>
      <c r="BE8" s="2713"/>
      <c r="BF8" s="2713"/>
      <c r="BG8" s="2713"/>
      <c r="BH8" s="2713"/>
    </row>
    <row r="9" spans="1:60" s="2679" customFormat="1" ht="27.75" customHeight="1" x14ac:dyDescent="0.25">
      <c r="A9" s="2726"/>
      <c r="B9" s="2726" t="s">
        <v>29</v>
      </c>
      <c r="C9" s="2727">
        <f>SUM(C10,C131)</f>
        <v>1382384.416</v>
      </c>
      <c r="D9" s="2727" t="e">
        <f t="shared" ref="D9:AR9" si="0">SUM(D10,D131)</f>
        <v>#REF!</v>
      </c>
      <c r="E9" s="2727" t="e">
        <f t="shared" si="0"/>
        <v>#REF!</v>
      </c>
      <c r="F9" s="2727" t="e">
        <f t="shared" si="0"/>
        <v>#REF!</v>
      </c>
      <c r="G9" s="2727" t="e">
        <f t="shared" si="0"/>
        <v>#REF!</v>
      </c>
      <c r="H9" s="2727" t="e">
        <f t="shared" si="0"/>
        <v>#REF!</v>
      </c>
      <c r="I9" s="2727" t="e">
        <f t="shared" si="0"/>
        <v>#REF!</v>
      </c>
      <c r="J9" s="2727">
        <f t="shared" si="0"/>
        <v>284285.27100000001</v>
      </c>
      <c r="K9" s="2727">
        <f t="shared" si="0"/>
        <v>1098099.145</v>
      </c>
      <c r="L9" s="2727">
        <f t="shared" si="0"/>
        <v>112208217.41600001</v>
      </c>
      <c r="M9" s="2727">
        <f t="shared" si="0"/>
        <v>22199287.940000001</v>
      </c>
      <c r="N9" s="2727">
        <f t="shared" si="0"/>
        <v>59400</v>
      </c>
      <c r="O9" s="2727">
        <f t="shared" si="0"/>
        <v>22139887.940000001</v>
      </c>
      <c r="P9" s="2727">
        <f t="shared" si="0"/>
        <v>88661649.475999996</v>
      </c>
      <c r="Q9" s="2728">
        <f t="shared" si="0"/>
        <v>0</v>
      </c>
      <c r="R9" s="2727">
        <f t="shared" si="0"/>
        <v>88661649.475999996</v>
      </c>
      <c r="S9" s="2727">
        <f t="shared" si="0"/>
        <v>100268870.00100002</v>
      </c>
      <c r="T9" s="2746">
        <f t="shared" si="0"/>
        <v>0</v>
      </c>
      <c r="U9" s="2746">
        <f t="shared" si="0"/>
        <v>0</v>
      </c>
      <c r="V9" s="2746">
        <f t="shared" si="0"/>
        <v>0</v>
      </c>
      <c r="W9" s="2746">
        <f t="shared" si="0"/>
        <v>0</v>
      </c>
      <c r="X9" s="2746">
        <f t="shared" si="0"/>
        <v>0</v>
      </c>
      <c r="Y9" s="2746">
        <f t="shared" si="0"/>
        <v>0</v>
      </c>
      <c r="Z9" s="2727">
        <f t="shared" si="0"/>
        <v>246234.14300000001</v>
      </c>
      <c r="AA9" s="2727">
        <f t="shared" si="0"/>
        <v>303630.2</v>
      </c>
      <c r="AB9" s="2727">
        <f t="shared" si="0"/>
        <v>40550.830999999998</v>
      </c>
      <c r="AC9" s="2727">
        <f t="shared" si="0"/>
        <v>99678454.827000007</v>
      </c>
      <c r="AD9" s="2727">
        <f t="shared" si="0"/>
        <v>11319096.93</v>
      </c>
      <c r="AE9" s="2728">
        <f t="shared" si="0"/>
        <v>0</v>
      </c>
      <c r="AF9" s="2727">
        <f t="shared" si="0"/>
        <v>11319096.93</v>
      </c>
      <c r="AG9" s="2728">
        <f t="shared" si="0"/>
        <v>784469.47600000096</v>
      </c>
      <c r="AH9" s="2728">
        <f t="shared" si="0"/>
        <v>0</v>
      </c>
      <c r="AI9" s="2728">
        <f t="shared" si="0"/>
        <v>0</v>
      </c>
      <c r="AJ9" s="2728">
        <f t="shared" si="0"/>
        <v>0</v>
      </c>
      <c r="AK9" s="2728">
        <f t="shared" si="0"/>
        <v>0</v>
      </c>
      <c r="AL9" s="2728">
        <f t="shared" si="0"/>
        <v>0</v>
      </c>
      <c r="AM9" s="2728">
        <f t="shared" si="0"/>
        <v>0</v>
      </c>
      <c r="AN9" s="2728">
        <f t="shared" si="0"/>
        <v>0</v>
      </c>
      <c r="AO9" s="2728">
        <f t="shared" si="0"/>
        <v>0</v>
      </c>
      <c r="AP9" s="2728">
        <f t="shared" si="0"/>
        <v>0</v>
      </c>
      <c r="AQ9" s="2727">
        <f t="shared" si="0"/>
        <v>784469.47600000096</v>
      </c>
      <c r="AR9" s="2727">
        <f t="shared" si="0"/>
        <v>1217956.8619999997</v>
      </c>
      <c r="AS9" s="2677"/>
      <c r="AT9" s="2678"/>
      <c r="AU9" s="2678"/>
      <c r="AV9" s="2678"/>
      <c r="AW9" s="2678"/>
      <c r="AX9" s="2678"/>
      <c r="AY9" s="2678"/>
      <c r="AZ9" s="2678"/>
      <c r="BA9" s="2678"/>
      <c r="BB9" s="2678"/>
      <c r="BC9" s="2678"/>
      <c r="BD9" s="2678"/>
      <c r="BE9" s="2678"/>
      <c r="BF9" s="2678"/>
      <c r="BG9" s="2678"/>
      <c r="BH9" s="2678"/>
    </row>
    <row r="10" spans="1:60" s="2679" customFormat="1" ht="27.75" customHeight="1" x14ac:dyDescent="0.25">
      <c r="A10" s="2726" t="s">
        <v>3</v>
      </c>
      <c r="B10" s="2729" t="s">
        <v>1116</v>
      </c>
      <c r="C10" s="2727">
        <f>SUM(C11,C38,C86)</f>
        <v>1382384.416</v>
      </c>
      <c r="D10" s="2730"/>
      <c r="E10" s="2730"/>
      <c r="F10" s="2730"/>
      <c r="G10" s="2730"/>
      <c r="H10" s="2730"/>
      <c r="I10" s="2730"/>
      <c r="J10" s="2727">
        <f>SUM(J11,J38,J86)</f>
        <v>284285.27100000001</v>
      </c>
      <c r="K10" s="2727">
        <f t="shared" ref="K10:AR10" si="1">SUM(K11,K38,K86)</f>
        <v>1098099.145</v>
      </c>
      <c r="L10" s="2727">
        <f t="shared" si="1"/>
        <v>3601500</v>
      </c>
      <c r="M10" s="2727">
        <f t="shared" si="1"/>
        <v>3601500</v>
      </c>
      <c r="N10" s="2727">
        <f t="shared" si="1"/>
        <v>59400</v>
      </c>
      <c r="O10" s="2727">
        <f t="shared" si="1"/>
        <v>3542100</v>
      </c>
      <c r="P10" s="2728">
        <f t="shared" si="1"/>
        <v>0</v>
      </c>
      <c r="Q10" s="2728">
        <f t="shared" si="1"/>
        <v>0</v>
      </c>
      <c r="R10" s="2728">
        <f>SUM(R11,R38,R86)</f>
        <v>0</v>
      </c>
      <c r="S10" s="2727">
        <f t="shared" si="1"/>
        <v>1461068.6940000001</v>
      </c>
      <c r="T10" s="2746">
        <f t="shared" si="1"/>
        <v>0</v>
      </c>
      <c r="U10" s="2746">
        <f t="shared" si="1"/>
        <v>0</v>
      </c>
      <c r="V10" s="2746">
        <f t="shared" si="1"/>
        <v>0</v>
      </c>
      <c r="W10" s="2746">
        <f t="shared" si="1"/>
        <v>0</v>
      </c>
      <c r="X10" s="2746">
        <f t="shared" si="1"/>
        <v>0</v>
      </c>
      <c r="Y10" s="2746">
        <f t="shared" si="1"/>
        <v>0</v>
      </c>
      <c r="Z10" s="2727">
        <f t="shared" si="1"/>
        <v>246234.14300000001</v>
      </c>
      <c r="AA10" s="2727">
        <f t="shared" si="1"/>
        <v>303630.2</v>
      </c>
      <c r="AB10" s="2727">
        <f t="shared" si="1"/>
        <v>40550.830999999998</v>
      </c>
      <c r="AC10" s="2727">
        <f t="shared" si="1"/>
        <v>870653.52</v>
      </c>
      <c r="AD10" s="2727">
        <f t="shared" si="1"/>
        <v>2446816.2599999998</v>
      </c>
      <c r="AE10" s="2728">
        <f t="shared" si="1"/>
        <v>0</v>
      </c>
      <c r="AF10" s="2727">
        <f t="shared" si="1"/>
        <v>2446816.2599999998</v>
      </c>
      <c r="AG10" s="2728">
        <f t="shared" si="1"/>
        <v>0</v>
      </c>
      <c r="AH10" s="2728">
        <f t="shared" si="1"/>
        <v>0</v>
      </c>
      <c r="AI10" s="2728">
        <f t="shared" si="1"/>
        <v>0</v>
      </c>
      <c r="AJ10" s="2728">
        <f t="shared" si="1"/>
        <v>0</v>
      </c>
      <c r="AK10" s="2728">
        <f t="shared" si="1"/>
        <v>0</v>
      </c>
      <c r="AL10" s="2728">
        <f t="shared" si="1"/>
        <v>0</v>
      </c>
      <c r="AM10" s="2728">
        <f t="shared" si="1"/>
        <v>0</v>
      </c>
      <c r="AN10" s="2728">
        <f t="shared" si="1"/>
        <v>0</v>
      </c>
      <c r="AO10" s="2728">
        <f t="shared" si="1"/>
        <v>0</v>
      </c>
      <c r="AP10" s="2728">
        <f t="shared" si="1"/>
        <v>0</v>
      </c>
      <c r="AQ10" s="2728">
        <f t="shared" si="1"/>
        <v>0</v>
      </c>
      <c r="AR10" s="2727">
        <f t="shared" si="1"/>
        <v>1075999.4619999998</v>
      </c>
      <c r="AS10" s="2677"/>
      <c r="AT10" s="2678"/>
      <c r="AU10" s="2678"/>
      <c r="AV10" s="2678"/>
      <c r="AW10" s="2678"/>
      <c r="AX10" s="2678"/>
      <c r="AY10" s="2678"/>
      <c r="AZ10" s="2678"/>
      <c r="BA10" s="2678"/>
      <c r="BB10" s="2678"/>
      <c r="BC10" s="2678"/>
      <c r="BD10" s="2678"/>
      <c r="BE10" s="2678"/>
      <c r="BF10" s="2678"/>
      <c r="BG10" s="2678"/>
      <c r="BH10" s="2678"/>
    </row>
    <row r="11" spans="1:60" s="2681" customFormat="1" ht="36" customHeight="1" x14ac:dyDescent="0.25">
      <c r="A11" s="2726" t="s">
        <v>5</v>
      </c>
      <c r="B11" s="2731" t="s">
        <v>1117</v>
      </c>
      <c r="C11" s="2727">
        <f>SUM(C12:C14)</f>
        <v>518172.47100000002</v>
      </c>
      <c r="D11" s="2730"/>
      <c r="E11" s="2730"/>
      <c r="F11" s="2730"/>
      <c r="G11" s="2730"/>
      <c r="H11" s="2730"/>
      <c r="I11" s="2730"/>
      <c r="J11" s="2727">
        <f>SUM(J12:J14)</f>
        <v>284285.27100000001</v>
      </c>
      <c r="K11" s="2727">
        <f t="shared" ref="K11:AR11" si="2">SUM(K12:K14)</f>
        <v>233887.2</v>
      </c>
      <c r="L11" s="2727">
        <f t="shared" si="2"/>
        <v>394400</v>
      </c>
      <c r="M11" s="2727">
        <f t="shared" si="2"/>
        <v>394400</v>
      </c>
      <c r="N11" s="2727">
        <f t="shared" si="2"/>
        <v>59400</v>
      </c>
      <c r="O11" s="2727">
        <f t="shared" si="2"/>
        <v>335000</v>
      </c>
      <c r="P11" s="2728">
        <f t="shared" si="2"/>
        <v>0</v>
      </c>
      <c r="Q11" s="2728">
        <f t="shared" si="2"/>
        <v>0</v>
      </c>
      <c r="R11" s="2728">
        <f t="shared" si="2"/>
        <v>0</v>
      </c>
      <c r="S11" s="2727">
        <f t="shared" si="2"/>
        <v>471954.37400000001</v>
      </c>
      <c r="T11" s="2746">
        <f t="shared" si="2"/>
        <v>0</v>
      </c>
      <c r="U11" s="2746">
        <f t="shared" si="2"/>
        <v>0</v>
      </c>
      <c r="V11" s="2746">
        <f t="shared" si="2"/>
        <v>0</v>
      </c>
      <c r="W11" s="2746">
        <f t="shared" si="2"/>
        <v>0</v>
      </c>
      <c r="X11" s="2746">
        <f t="shared" si="2"/>
        <v>0</v>
      </c>
      <c r="Y11" s="2746">
        <f t="shared" si="2"/>
        <v>0</v>
      </c>
      <c r="Z11" s="2727">
        <f t="shared" si="2"/>
        <v>246234.14300000001</v>
      </c>
      <c r="AA11" s="2728">
        <f t="shared" si="2"/>
        <v>0</v>
      </c>
      <c r="AB11" s="2727">
        <f t="shared" si="2"/>
        <v>40550.830999999998</v>
      </c>
      <c r="AC11" s="2727">
        <f t="shared" si="2"/>
        <v>185169.4</v>
      </c>
      <c r="AD11" s="2727">
        <f t="shared" si="2"/>
        <v>183570</v>
      </c>
      <c r="AE11" s="2728">
        <f t="shared" si="2"/>
        <v>0</v>
      </c>
      <c r="AF11" s="2727">
        <f t="shared" si="2"/>
        <v>183570</v>
      </c>
      <c r="AG11" s="2728">
        <f t="shared" si="2"/>
        <v>0</v>
      </c>
      <c r="AH11" s="2728">
        <f t="shared" si="2"/>
        <v>0</v>
      </c>
      <c r="AI11" s="2728">
        <f t="shared" si="2"/>
        <v>0</v>
      </c>
      <c r="AJ11" s="2728">
        <f t="shared" si="2"/>
        <v>0</v>
      </c>
      <c r="AK11" s="2728">
        <f t="shared" si="2"/>
        <v>0</v>
      </c>
      <c r="AL11" s="2728">
        <f t="shared" si="2"/>
        <v>0</v>
      </c>
      <c r="AM11" s="2728">
        <f t="shared" si="2"/>
        <v>0</v>
      </c>
      <c r="AN11" s="2728">
        <f t="shared" si="2"/>
        <v>0</v>
      </c>
      <c r="AO11" s="2728">
        <f t="shared" si="2"/>
        <v>0</v>
      </c>
      <c r="AP11" s="2728">
        <f t="shared" si="2"/>
        <v>0</v>
      </c>
      <c r="AQ11" s="2728">
        <f t="shared" si="2"/>
        <v>0</v>
      </c>
      <c r="AR11" s="2727">
        <f t="shared" si="2"/>
        <v>257048.09699999998</v>
      </c>
      <c r="AS11" s="2677"/>
      <c r="AT11" s="2680"/>
      <c r="AU11" s="2680"/>
      <c r="AV11" s="2680"/>
      <c r="AW11" s="2680"/>
      <c r="AX11" s="2680"/>
      <c r="AY11" s="2680"/>
      <c r="AZ11" s="2680"/>
      <c r="BA11" s="2680"/>
      <c r="BB11" s="2680"/>
      <c r="BC11" s="2680"/>
      <c r="BD11" s="2680"/>
      <c r="BE11" s="2680"/>
      <c r="BF11" s="2680"/>
      <c r="BG11" s="2680"/>
      <c r="BH11" s="2680"/>
    </row>
    <row r="12" spans="1:60" s="2716" customFormat="1" ht="16.5" customHeight="1" x14ac:dyDescent="0.25">
      <c r="A12" s="2732" t="s">
        <v>23</v>
      </c>
      <c r="B12" s="2733" t="s">
        <v>1118</v>
      </c>
      <c r="C12" s="2734">
        <f>J12+K12</f>
        <v>481172.47100000002</v>
      </c>
      <c r="D12" s="2735"/>
      <c r="E12" s="2735"/>
      <c r="F12" s="2735"/>
      <c r="G12" s="2735"/>
      <c r="H12" s="2735"/>
      <c r="I12" s="2735"/>
      <c r="J12" s="2735">
        <f>J16+J20+J28+J25+J32+J36</f>
        <v>268285.27100000001</v>
      </c>
      <c r="K12" s="2735">
        <f>K16+K20+K28+K25+K32+K36</f>
        <v>212887.2</v>
      </c>
      <c r="L12" s="2735">
        <f>M12+P12</f>
        <v>376400</v>
      </c>
      <c r="M12" s="2735">
        <f>N12+O12</f>
        <v>376400</v>
      </c>
      <c r="N12" s="2735">
        <f>N16+N20+N28+N25+N32+N36</f>
        <v>57400</v>
      </c>
      <c r="O12" s="2735">
        <f>O16+O20+O28+O25+O32+O36</f>
        <v>319000</v>
      </c>
      <c r="P12" s="2737"/>
      <c r="Q12" s="2737"/>
      <c r="R12" s="2737"/>
      <c r="S12" s="2735">
        <f>SUM(T12:AC12)</f>
        <v>467887.21400000004</v>
      </c>
      <c r="T12" s="2736"/>
      <c r="U12" s="2736"/>
      <c r="V12" s="2736"/>
      <c r="W12" s="2736"/>
      <c r="X12" s="2736"/>
      <c r="Y12" s="2736"/>
      <c r="Z12" s="2735">
        <f>Z16+Z20+Z28+Z25+Z32+Z36</f>
        <v>242166.98300000001</v>
      </c>
      <c r="AA12" s="2737">
        <f>AA16+AA20+AA28+AA25+AA32+AA36</f>
        <v>0</v>
      </c>
      <c r="AB12" s="2735">
        <f>AB16+AB20+AB28+AB25+AB32+AB36</f>
        <v>40550.830999999998</v>
      </c>
      <c r="AC12" s="2735">
        <f>AC16+AC20+AC28+AC25+AC32+AC36</f>
        <v>185169.4</v>
      </c>
      <c r="AD12" s="2735">
        <f>AE12+AF12</f>
        <v>169570</v>
      </c>
      <c r="AE12" s="2737">
        <f>AE16+AE20+AE28+AE25+AE32+AE36</f>
        <v>0</v>
      </c>
      <c r="AF12" s="2735">
        <f>AF16+AF20+AF25+AF28+AF32+AF36</f>
        <v>169570</v>
      </c>
      <c r="AG12" s="2737"/>
      <c r="AH12" s="2737"/>
      <c r="AI12" s="2737"/>
      <c r="AJ12" s="2737"/>
      <c r="AK12" s="2737"/>
      <c r="AL12" s="2737"/>
      <c r="AM12" s="2737"/>
      <c r="AN12" s="2737"/>
      <c r="AO12" s="2737"/>
      <c r="AP12" s="2735"/>
      <c r="AQ12" s="2735"/>
      <c r="AR12" s="2735">
        <f>AR16+AR20+AR28+AR25+AR32+AR36</f>
        <v>220115.25699999998</v>
      </c>
      <c r="AS12" s="2682"/>
      <c r="AT12" s="2715"/>
      <c r="AU12" s="2715"/>
      <c r="AV12" s="2715"/>
      <c r="AW12" s="2715"/>
      <c r="AX12" s="2715"/>
      <c r="AY12" s="2715"/>
      <c r="AZ12" s="2715"/>
      <c r="BA12" s="2715"/>
      <c r="BB12" s="2715"/>
      <c r="BC12" s="2715"/>
      <c r="BD12" s="2715"/>
      <c r="BE12" s="2715"/>
      <c r="BF12" s="2715"/>
      <c r="BG12" s="2715"/>
      <c r="BH12" s="2715"/>
    </row>
    <row r="13" spans="1:60" s="2716" customFormat="1" ht="16.5" customHeight="1" x14ac:dyDescent="0.25">
      <c r="A13" s="2732" t="s">
        <v>23</v>
      </c>
      <c r="B13" s="2733" t="s">
        <v>1119</v>
      </c>
      <c r="C13" s="2734">
        <f t="shared" ref="C13:C14" si="3">J13+K13</f>
        <v>37000</v>
      </c>
      <c r="D13" s="2735"/>
      <c r="E13" s="2735"/>
      <c r="F13" s="2735"/>
      <c r="G13" s="2735"/>
      <c r="H13" s="2735"/>
      <c r="I13" s="2735"/>
      <c r="J13" s="2735">
        <f>J17+J21+J29+J33+J37</f>
        <v>16000</v>
      </c>
      <c r="K13" s="2735">
        <f>K17+K21+K29+K26+K33+K37</f>
        <v>21000</v>
      </c>
      <c r="L13" s="2735">
        <f>M13+P13</f>
        <v>18000</v>
      </c>
      <c r="M13" s="2735">
        <f>N13+O13</f>
        <v>18000</v>
      </c>
      <c r="N13" s="2735">
        <f>N17+N21+N29+N33+N37</f>
        <v>2000</v>
      </c>
      <c r="O13" s="2735">
        <f>O17+O21+O29+O26+O33+O37</f>
        <v>16000</v>
      </c>
      <c r="P13" s="2737"/>
      <c r="Q13" s="2737"/>
      <c r="R13" s="2737"/>
      <c r="S13" s="2735">
        <f>SUM(T13:AC13)</f>
        <v>4067.16</v>
      </c>
      <c r="T13" s="2736"/>
      <c r="U13" s="2736"/>
      <c r="V13" s="2736"/>
      <c r="W13" s="2736"/>
      <c r="X13" s="2736"/>
      <c r="Y13" s="2736"/>
      <c r="Z13" s="2735">
        <f>Z17+Z21+Z29+Z33+Z37</f>
        <v>4067.16</v>
      </c>
      <c r="AA13" s="2737">
        <f>AA17+AA21+AA29+AA26+AA33+AA37</f>
        <v>0</v>
      </c>
      <c r="AB13" s="2737">
        <f>AB17+AB21+AB29+AB33+AB37</f>
        <v>0</v>
      </c>
      <c r="AC13" s="2737">
        <f>AC17+AC21+AC29+AC26+AC33+AC37</f>
        <v>0</v>
      </c>
      <c r="AD13" s="2735">
        <f>AE13+AF13</f>
        <v>14000</v>
      </c>
      <c r="AE13" s="2737">
        <f>AE17+AE21+AE29+AE33+AE37</f>
        <v>0</v>
      </c>
      <c r="AF13" s="2735">
        <f>AF17+AF21+AF29+AF26+AF33+AF37</f>
        <v>14000</v>
      </c>
      <c r="AG13" s="2737"/>
      <c r="AH13" s="2737"/>
      <c r="AI13" s="2737"/>
      <c r="AJ13" s="2737"/>
      <c r="AK13" s="2737"/>
      <c r="AL13" s="2737"/>
      <c r="AM13" s="2737"/>
      <c r="AN13" s="2737"/>
      <c r="AO13" s="2737"/>
      <c r="AP13" s="2735"/>
      <c r="AQ13" s="2735"/>
      <c r="AR13" s="2735">
        <f>AR17+AR21+AR29+AR26+AR33+AR37</f>
        <v>36932.839999999997</v>
      </c>
      <c r="AS13" s="2682"/>
      <c r="AT13" s="2715"/>
      <c r="AU13" s="2715"/>
      <c r="AV13" s="2715"/>
      <c r="AW13" s="2715"/>
      <c r="AX13" s="2715"/>
      <c r="AY13" s="2715"/>
      <c r="AZ13" s="2715"/>
      <c r="BA13" s="2715"/>
      <c r="BB13" s="2715"/>
      <c r="BC13" s="2715"/>
      <c r="BD13" s="2715"/>
      <c r="BE13" s="2715"/>
      <c r="BF13" s="2715"/>
      <c r="BG13" s="2715"/>
      <c r="BH13" s="2715"/>
    </row>
    <row r="14" spans="1:60" s="2716" customFormat="1" ht="16.5" hidden="1" customHeight="1" x14ac:dyDescent="0.25">
      <c r="A14" s="2732" t="s">
        <v>23</v>
      </c>
      <c r="B14" s="2733" t="s">
        <v>502</v>
      </c>
      <c r="C14" s="2734">
        <f t="shared" si="3"/>
        <v>0</v>
      </c>
      <c r="D14" s="2735"/>
      <c r="E14" s="2735"/>
      <c r="F14" s="2735"/>
      <c r="G14" s="2735"/>
      <c r="H14" s="2735"/>
      <c r="I14" s="2735"/>
      <c r="J14" s="2735"/>
      <c r="K14" s="2735"/>
      <c r="L14" s="2735"/>
      <c r="M14" s="2735"/>
      <c r="N14" s="2735"/>
      <c r="O14" s="2735"/>
      <c r="P14" s="2737"/>
      <c r="Q14" s="2737"/>
      <c r="R14" s="2737"/>
      <c r="S14" s="2735"/>
      <c r="T14" s="2736"/>
      <c r="U14" s="2736"/>
      <c r="V14" s="2736"/>
      <c r="W14" s="2736"/>
      <c r="X14" s="2736"/>
      <c r="Y14" s="2736"/>
      <c r="Z14" s="2735"/>
      <c r="AA14" s="2737"/>
      <c r="AB14" s="2735"/>
      <c r="AC14" s="2735"/>
      <c r="AD14" s="2735"/>
      <c r="AE14" s="2736"/>
      <c r="AF14" s="2735"/>
      <c r="AG14" s="2737"/>
      <c r="AH14" s="2737"/>
      <c r="AI14" s="2737"/>
      <c r="AJ14" s="2737"/>
      <c r="AK14" s="2737"/>
      <c r="AL14" s="2737"/>
      <c r="AM14" s="2737"/>
      <c r="AN14" s="2737"/>
      <c r="AO14" s="2737"/>
      <c r="AP14" s="2735"/>
      <c r="AQ14" s="2735"/>
      <c r="AR14" s="2735"/>
      <c r="AS14" s="2682"/>
      <c r="AT14" s="2715"/>
      <c r="AU14" s="2715"/>
      <c r="AV14" s="2715"/>
      <c r="AW14" s="2715"/>
      <c r="AX14" s="2715"/>
      <c r="AY14" s="2715"/>
      <c r="AZ14" s="2715"/>
      <c r="BA14" s="2715"/>
      <c r="BB14" s="2715"/>
      <c r="BC14" s="2715"/>
      <c r="BD14" s="2715"/>
      <c r="BE14" s="2715"/>
      <c r="BF14" s="2715"/>
      <c r="BG14" s="2715"/>
      <c r="BH14" s="2715"/>
    </row>
    <row r="15" spans="1:60" s="2679" customFormat="1" ht="84" customHeight="1" x14ac:dyDescent="0.25">
      <c r="A15" s="2726">
        <v>1</v>
      </c>
      <c r="B15" s="2731" t="s">
        <v>1120</v>
      </c>
      <c r="C15" s="2727"/>
      <c r="D15" s="2730"/>
      <c r="E15" s="2730"/>
      <c r="F15" s="2730"/>
      <c r="G15" s="2730"/>
      <c r="H15" s="2730"/>
      <c r="I15" s="2730"/>
      <c r="J15" s="2730"/>
      <c r="K15" s="2730"/>
      <c r="L15" s="2730"/>
      <c r="M15" s="2730"/>
      <c r="N15" s="2730"/>
      <c r="O15" s="2730"/>
      <c r="P15" s="2739"/>
      <c r="Q15" s="2739"/>
      <c r="R15" s="2739"/>
      <c r="S15" s="2730"/>
      <c r="T15" s="2738"/>
      <c r="U15" s="2738"/>
      <c r="V15" s="2738"/>
      <c r="W15" s="2738"/>
      <c r="X15" s="2738"/>
      <c r="Y15" s="2738"/>
      <c r="Z15" s="2730"/>
      <c r="AA15" s="2739"/>
      <c r="AB15" s="2730"/>
      <c r="AC15" s="2730"/>
      <c r="AD15" s="2730"/>
      <c r="AE15" s="2738"/>
      <c r="AF15" s="2730"/>
      <c r="AG15" s="2739"/>
      <c r="AH15" s="2739"/>
      <c r="AI15" s="2739"/>
      <c r="AJ15" s="2739"/>
      <c r="AK15" s="2739"/>
      <c r="AL15" s="2739"/>
      <c r="AM15" s="2739"/>
      <c r="AN15" s="2739"/>
      <c r="AO15" s="2739"/>
      <c r="AP15" s="2730"/>
      <c r="AQ15" s="2730"/>
      <c r="AR15" s="2730"/>
      <c r="AS15" s="2677"/>
      <c r="AT15" s="2678"/>
      <c r="AU15" s="2678"/>
      <c r="AV15" s="2678"/>
      <c r="AW15" s="2678"/>
      <c r="AX15" s="2678"/>
      <c r="AY15" s="2678"/>
      <c r="AZ15" s="2678"/>
      <c r="BA15" s="2678"/>
      <c r="BB15" s="2678"/>
      <c r="BC15" s="2678"/>
      <c r="BD15" s="2678"/>
      <c r="BE15" s="2678"/>
      <c r="BF15" s="2678"/>
      <c r="BG15" s="2678"/>
      <c r="BH15" s="2678"/>
    </row>
    <row r="16" spans="1:60" s="2716" customFormat="1" ht="21" hidden="1" customHeight="1" x14ac:dyDescent="0.25">
      <c r="A16" s="2732" t="s">
        <v>23</v>
      </c>
      <c r="B16" s="2733" t="s">
        <v>1118</v>
      </c>
      <c r="C16" s="2734"/>
      <c r="D16" s="2735"/>
      <c r="E16" s="2735"/>
      <c r="F16" s="2735"/>
      <c r="G16" s="2735"/>
      <c r="H16" s="2735"/>
      <c r="I16" s="2735"/>
      <c r="J16" s="2735"/>
      <c r="K16" s="2735"/>
      <c r="L16" s="2735"/>
      <c r="M16" s="2735"/>
      <c r="N16" s="2735"/>
      <c r="O16" s="2735"/>
      <c r="P16" s="2737"/>
      <c r="Q16" s="2737"/>
      <c r="R16" s="2737"/>
      <c r="S16" s="2735"/>
      <c r="T16" s="2736"/>
      <c r="U16" s="2736"/>
      <c r="V16" s="2736"/>
      <c r="W16" s="2736"/>
      <c r="X16" s="2736"/>
      <c r="Y16" s="2736"/>
      <c r="Z16" s="2735"/>
      <c r="AA16" s="2737"/>
      <c r="AB16" s="2735"/>
      <c r="AC16" s="2735"/>
      <c r="AD16" s="2735"/>
      <c r="AE16" s="2736"/>
      <c r="AF16" s="2735"/>
      <c r="AG16" s="2737"/>
      <c r="AH16" s="2737"/>
      <c r="AI16" s="2737"/>
      <c r="AJ16" s="2737"/>
      <c r="AK16" s="2737"/>
      <c r="AL16" s="2737"/>
      <c r="AM16" s="2737"/>
      <c r="AN16" s="2737"/>
      <c r="AO16" s="2737"/>
      <c r="AP16" s="2735"/>
      <c r="AQ16" s="2735"/>
      <c r="AR16" s="2735"/>
      <c r="AS16" s="2682"/>
      <c r="AT16" s="2715"/>
      <c r="AU16" s="2715"/>
      <c r="AV16" s="2715"/>
      <c r="AW16" s="2715"/>
      <c r="AX16" s="2715"/>
      <c r="AY16" s="2715"/>
      <c r="AZ16" s="2715"/>
      <c r="BA16" s="2715"/>
      <c r="BB16" s="2715"/>
      <c r="BC16" s="2715"/>
      <c r="BD16" s="2715"/>
      <c r="BE16" s="2715"/>
      <c r="BF16" s="2715"/>
      <c r="BG16" s="2715"/>
      <c r="BH16" s="2715"/>
    </row>
    <row r="17" spans="1:60" s="2716" customFormat="1" ht="21.75" hidden="1" customHeight="1" x14ac:dyDescent="0.25">
      <c r="A17" s="2732" t="s">
        <v>23</v>
      </c>
      <c r="B17" s="2733" t="s">
        <v>1119</v>
      </c>
      <c r="C17" s="2734"/>
      <c r="D17" s="2735"/>
      <c r="E17" s="2735"/>
      <c r="F17" s="2735"/>
      <c r="G17" s="2735"/>
      <c r="H17" s="2735"/>
      <c r="I17" s="2735"/>
      <c r="J17" s="2735"/>
      <c r="K17" s="2735"/>
      <c r="L17" s="2735"/>
      <c r="M17" s="2735"/>
      <c r="N17" s="2735"/>
      <c r="O17" s="2735"/>
      <c r="P17" s="2737"/>
      <c r="Q17" s="2737"/>
      <c r="R17" s="2737"/>
      <c r="S17" s="2735"/>
      <c r="T17" s="2736"/>
      <c r="U17" s="2736"/>
      <c r="V17" s="2736"/>
      <c r="W17" s="2736"/>
      <c r="X17" s="2736"/>
      <c r="Y17" s="2736"/>
      <c r="Z17" s="2735"/>
      <c r="AA17" s="2737"/>
      <c r="AB17" s="2735"/>
      <c r="AC17" s="2735"/>
      <c r="AD17" s="2735"/>
      <c r="AE17" s="2736"/>
      <c r="AF17" s="2735"/>
      <c r="AG17" s="2737"/>
      <c r="AH17" s="2737"/>
      <c r="AI17" s="2737"/>
      <c r="AJ17" s="2737"/>
      <c r="AK17" s="2737"/>
      <c r="AL17" s="2737"/>
      <c r="AM17" s="2737"/>
      <c r="AN17" s="2737"/>
      <c r="AO17" s="2737"/>
      <c r="AP17" s="2735"/>
      <c r="AQ17" s="2735"/>
      <c r="AR17" s="2735"/>
      <c r="AS17" s="2682"/>
      <c r="AT17" s="2715"/>
      <c r="AU17" s="2715"/>
      <c r="AV17" s="2715"/>
      <c r="AW17" s="2715"/>
      <c r="AX17" s="2715"/>
      <c r="AY17" s="2715"/>
      <c r="AZ17" s="2715"/>
      <c r="BA17" s="2715"/>
      <c r="BB17" s="2715"/>
      <c r="BC17" s="2715"/>
      <c r="BD17" s="2715"/>
      <c r="BE17" s="2715"/>
      <c r="BF17" s="2715"/>
      <c r="BG17" s="2715"/>
      <c r="BH17" s="2715"/>
    </row>
    <row r="18" spans="1:60" s="2716" customFormat="1" ht="21.75" hidden="1" customHeight="1" x14ac:dyDescent="0.25">
      <c r="A18" s="2732" t="s">
        <v>23</v>
      </c>
      <c r="B18" s="2733" t="s">
        <v>502</v>
      </c>
      <c r="C18" s="2734"/>
      <c r="D18" s="2735"/>
      <c r="E18" s="2735"/>
      <c r="F18" s="2735"/>
      <c r="G18" s="2735"/>
      <c r="H18" s="2735"/>
      <c r="I18" s="2735"/>
      <c r="J18" s="2735"/>
      <c r="K18" s="2735"/>
      <c r="L18" s="2735"/>
      <c r="M18" s="2735"/>
      <c r="N18" s="2735"/>
      <c r="O18" s="2735"/>
      <c r="P18" s="2737"/>
      <c r="Q18" s="2737"/>
      <c r="R18" s="2737"/>
      <c r="S18" s="2735"/>
      <c r="T18" s="2736"/>
      <c r="U18" s="2736"/>
      <c r="V18" s="2736"/>
      <c r="W18" s="2736"/>
      <c r="X18" s="2736"/>
      <c r="Y18" s="2736"/>
      <c r="Z18" s="2735"/>
      <c r="AA18" s="2737"/>
      <c r="AB18" s="2735"/>
      <c r="AC18" s="2735"/>
      <c r="AD18" s="2735"/>
      <c r="AE18" s="2736"/>
      <c r="AF18" s="2735"/>
      <c r="AG18" s="2737"/>
      <c r="AH18" s="2737"/>
      <c r="AI18" s="2737"/>
      <c r="AJ18" s="2737"/>
      <c r="AK18" s="2737"/>
      <c r="AL18" s="2737"/>
      <c r="AM18" s="2737"/>
      <c r="AN18" s="2737"/>
      <c r="AO18" s="2737"/>
      <c r="AP18" s="2735"/>
      <c r="AQ18" s="2735"/>
      <c r="AR18" s="2735"/>
      <c r="AS18" s="2682"/>
      <c r="AT18" s="2715"/>
      <c r="AU18" s="2715"/>
      <c r="AV18" s="2715"/>
      <c r="AW18" s="2715"/>
      <c r="AX18" s="2715"/>
      <c r="AY18" s="2715"/>
      <c r="AZ18" s="2715"/>
      <c r="BA18" s="2715"/>
      <c r="BB18" s="2715"/>
      <c r="BC18" s="2715"/>
      <c r="BD18" s="2715"/>
      <c r="BE18" s="2715"/>
      <c r="BF18" s="2715"/>
      <c r="BG18" s="2715"/>
      <c r="BH18" s="2715"/>
    </row>
    <row r="19" spans="1:60" s="2679" customFormat="1" ht="65.25" customHeight="1" x14ac:dyDescent="0.25">
      <c r="A19" s="2726">
        <v>2</v>
      </c>
      <c r="B19" s="2731" t="s">
        <v>1121</v>
      </c>
      <c r="C19" s="2727"/>
      <c r="D19" s="2730"/>
      <c r="E19" s="2730"/>
      <c r="F19" s="2730"/>
      <c r="G19" s="2730"/>
      <c r="H19" s="2730"/>
      <c r="I19" s="2730"/>
      <c r="J19" s="2730">
        <f>SUM(J20:J22)</f>
        <v>284285.27100000001</v>
      </c>
      <c r="K19" s="2730"/>
      <c r="L19" s="2730">
        <f>SUM(L20:L22)</f>
        <v>59400</v>
      </c>
      <c r="M19" s="2730">
        <f>SUM(M20:M22)</f>
        <v>59400</v>
      </c>
      <c r="N19" s="2730"/>
      <c r="O19" s="2730"/>
      <c r="P19" s="2739">
        <f>SUM(P20:P22)</f>
        <v>0</v>
      </c>
      <c r="Q19" s="2739"/>
      <c r="R19" s="2739"/>
      <c r="S19" s="2730">
        <f>SUM(S20:S22)</f>
        <v>286784.97399999999</v>
      </c>
      <c r="T19" s="2738">
        <f t="shared" ref="T19:AP19" si="4">SUM(T20:T22)</f>
        <v>0</v>
      </c>
      <c r="U19" s="2738">
        <f t="shared" si="4"/>
        <v>0</v>
      </c>
      <c r="V19" s="2738">
        <f t="shared" si="4"/>
        <v>0</v>
      </c>
      <c r="W19" s="2738">
        <f t="shared" si="4"/>
        <v>0</v>
      </c>
      <c r="X19" s="2738">
        <f t="shared" si="4"/>
        <v>0</v>
      </c>
      <c r="Y19" s="2738">
        <f t="shared" si="4"/>
        <v>0</v>
      </c>
      <c r="Z19" s="2730">
        <f t="shared" si="4"/>
        <v>246234.14300000001</v>
      </c>
      <c r="AA19" s="2739">
        <f t="shared" si="4"/>
        <v>0</v>
      </c>
      <c r="AB19" s="2730">
        <f t="shared" si="4"/>
        <v>40550.830999999998</v>
      </c>
      <c r="AC19" s="2739">
        <f t="shared" si="4"/>
        <v>0</v>
      </c>
      <c r="AD19" s="2739">
        <f t="shared" si="4"/>
        <v>0</v>
      </c>
      <c r="AE19" s="2739">
        <f t="shared" si="4"/>
        <v>0</v>
      </c>
      <c r="AF19" s="2739">
        <f t="shared" si="4"/>
        <v>0</v>
      </c>
      <c r="AG19" s="2739">
        <f t="shared" si="4"/>
        <v>0</v>
      </c>
      <c r="AH19" s="2739">
        <f t="shared" si="4"/>
        <v>0</v>
      </c>
      <c r="AI19" s="2739">
        <f t="shared" si="4"/>
        <v>0</v>
      </c>
      <c r="AJ19" s="2739">
        <f t="shared" si="4"/>
        <v>0</v>
      </c>
      <c r="AK19" s="2739">
        <f t="shared" si="4"/>
        <v>0</v>
      </c>
      <c r="AL19" s="2739">
        <f t="shared" si="4"/>
        <v>0</v>
      </c>
      <c r="AM19" s="2739">
        <f t="shared" si="4"/>
        <v>0</v>
      </c>
      <c r="AN19" s="2739">
        <f t="shared" si="4"/>
        <v>0</v>
      </c>
      <c r="AO19" s="2739">
        <f t="shared" si="4"/>
        <v>0</v>
      </c>
      <c r="AP19" s="2739">
        <f t="shared" si="4"/>
        <v>0</v>
      </c>
      <c r="AQ19" s="2739">
        <f>SUM(AQ20:AQ22)</f>
        <v>0</v>
      </c>
      <c r="AR19" s="2730">
        <f>SUM(AR20:AR22)</f>
        <v>56900.296999999991</v>
      </c>
      <c r="AS19" s="2677"/>
      <c r="AT19" s="2678"/>
      <c r="AU19" s="2678"/>
      <c r="AV19" s="2678"/>
      <c r="AW19" s="2678"/>
      <c r="AX19" s="2678"/>
      <c r="AY19" s="2678"/>
      <c r="AZ19" s="2678"/>
      <c r="BA19" s="2678"/>
      <c r="BB19" s="2678"/>
      <c r="BC19" s="2678"/>
      <c r="BD19" s="2678"/>
      <c r="BE19" s="2678"/>
      <c r="BF19" s="2678"/>
      <c r="BG19" s="2678"/>
      <c r="BH19" s="2678"/>
    </row>
    <row r="20" spans="1:60" s="2716" customFormat="1" ht="16.5" customHeight="1" x14ac:dyDescent="0.25">
      <c r="A20" s="2732" t="s">
        <v>23</v>
      </c>
      <c r="B20" s="2733" t="s">
        <v>1118</v>
      </c>
      <c r="C20" s="2734">
        <f>SUM(D20:K20)</f>
        <v>268285.27100000001</v>
      </c>
      <c r="D20" s="2735"/>
      <c r="E20" s="2735"/>
      <c r="F20" s="2735"/>
      <c r="G20" s="2735"/>
      <c r="H20" s="2735"/>
      <c r="I20" s="2735"/>
      <c r="J20" s="2735">
        <v>268285.27100000001</v>
      </c>
      <c r="K20" s="2735"/>
      <c r="L20" s="2735">
        <f>+M20+P20</f>
        <v>57400</v>
      </c>
      <c r="M20" s="2735">
        <f>N20+O20</f>
        <v>57400</v>
      </c>
      <c r="N20" s="2735">
        <v>57400</v>
      </c>
      <c r="O20" s="2735"/>
      <c r="P20" s="2737">
        <f>Q20+R20</f>
        <v>0</v>
      </c>
      <c r="Q20" s="2737"/>
      <c r="R20" s="2737"/>
      <c r="S20" s="2735">
        <f>SUM(T20:AC20)</f>
        <v>282717.81400000001</v>
      </c>
      <c r="T20" s="2736"/>
      <c r="U20" s="2736"/>
      <c r="V20" s="2736"/>
      <c r="W20" s="2736"/>
      <c r="X20" s="2736"/>
      <c r="Y20" s="2736"/>
      <c r="Z20" s="2735">
        <v>242166.98300000001</v>
      </c>
      <c r="AA20" s="2735"/>
      <c r="AB20" s="2735">
        <v>40550.830999999998</v>
      </c>
      <c r="AC20" s="2735"/>
      <c r="AD20" s="2737">
        <f>AE20+AF20</f>
        <v>0</v>
      </c>
      <c r="AE20" s="2736"/>
      <c r="AF20" s="2735"/>
      <c r="AG20" s="2737">
        <f>SUM(AH20:AQ20)</f>
        <v>0</v>
      </c>
      <c r="AH20" s="2737"/>
      <c r="AI20" s="2737"/>
      <c r="AJ20" s="2737"/>
      <c r="AK20" s="2737"/>
      <c r="AL20" s="2737"/>
      <c r="AM20" s="2737"/>
      <c r="AN20" s="2737"/>
      <c r="AO20" s="2737"/>
      <c r="AP20" s="2735"/>
      <c r="AQ20" s="2735"/>
      <c r="AR20" s="2735">
        <f>C20+L20-S20</f>
        <v>42967.456999999995</v>
      </c>
      <c r="AS20" s="2682"/>
      <c r="AT20" s="2715"/>
      <c r="AU20" s="2715"/>
      <c r="AV20" s="2715"/>
      <c r="AW20" s="2715"/>
      <c r="AX20" s="2715"/>
      <c r="AY20" s="2715"/>
      <c r="AZ20" s="2715"/>
      <c r="BA20" s="2715"/>
      <c r="BB20" s="2715"/>
      <c r="BC20" s="2715"/>
      <c r="BD20" s="2715"/>
      <c r="BE20" s="2715"/>
      <c r="BF20" s="2715"/>
      <c r="BG20" s="2715"/>
      <c r="BH20" s="2715"/>
    </row>
    <row r="21" spans="1:60" s="2716" customFormat="1" ht="16.5" customHeight="1" x14ac:dyDescent="0.25">
      <c r="A21" s="2732" t="s">
        <v>23</v>
      </c>
      <c r="B21" s="2733" t="s">
        <v>1119</v>
      </c>
      <c r="C21" s="2734">
        <f t="shared" ref="C21:C22" si="5">SUM(D21:K21)</f>
        <v>16000</v>
      </c>
      <c r="D21" s="2735"/>
      <c r="E21" s="2735"/>
      <c r="F21" s="2735"/>
      <c r="G21" s="2735"/>
      <c r="H21" s="2735"/>
      <c r="I21" s="2735"/>
      <c r="J21" s="2735">
        <v>16000</v>
      </c>
      <c r="K21" s="2735"/>
      <c r="L21" s="2735">
        <f t="shared" ref="L21:L22" si="6">+M21+P21</f>
        <v>2000</v>
      </c>
      <c r="M21" s="2735">
        <f t="shared" ref="M21:M22" si="7">N21+O21</f>
        <v>2000</v>
      </c>
      <c r="N21" s="2735">
        <v>2000</v>
      </c>
      <c r="O21" s="2735"/>
      <c r="P21" s="2737">
        <f t="shared" ref="P21:P22" si="8">Q21+R21</f>
        <v>0</v>
      </c>
      <c r="Q21" s="2737"/>
      <c r="R21" s="2737"/>
      <c r="S21" s="2735">
        <f t="shared" ref="S21:S22" si="9">SUM(T21:AC21)</f>
        <v>4067.16</v>
      </c>
      <c r="T21" s="2736"/>
      <c r="U21" s="2736"/>
      <c r="V21" s="2736"/>
      <c r="W21" s="2736"/>
      <c r="X21" s="2736"/>
      <c r="Y21" s="2736"/>
      <c r="Z21" s="2735">
        <v>4067.16</v>
      </c>
      <c r="AA21" s="2735"/>
      <c r="AB21" s="2735"/>
      <c r="AC21" s="2735"/>
      <c r="AD21" s="2737">
        <f t="shared" ref="AD21:AD22" si="10">AE21+AF21</f>
        <v>0</v>
      </c>
      <c r="AE21" s="2736"/>
      <c r="AF21" s="2735"/>
      <c r="AG21" s="2737">
        <f t="shared" ref="AG21:AG22" si="11">SUM(AH21:AQ21)</f>
        <v>0</v>
      </c>
      <c r="AH21" s="2737"/>
      <c r="AI21" s="2737"/>
      <c r="AJ21" s="2737"/>
      <c r="AK21" s="2737"/>
      <c r="AL21" s="2737"/>
      <c r="AM21" s="2737"/>
      <c r="AN21" s="2737"/>
      <c r="AO21" s="2737"/>
      <c r="AP21" s="2735"/>
      <c r="AQ21" s="2735"/>
      <c r="AR21" s="2735">
        <f>C21+L21-S21</f>
        <v>13932.84</v>
      </c>
      <c r="AS21" s="2682"/>
      <c r="AT21" s="2715"/>
      <c r="AU21" s="2715"/>
      <c r="AV21" s="2715"/>
      <c r="AW21" s="2715"/>
      <c r="AX21" s="2715"/>
      <c r="AY21" s="2715"/>
      <c r="AZ21" s="2715"/>
      <c r="BA21" s="2715"/>
      <c r="BB21" s="2715"/>
      <c r="BC21" s="2715"/>
      <c r="BD21" s="2715"/>
      <c r="BE21" s="2715"/>
      <c r="BF21" s="2715"/>
      <c r="BG21" s="2715"/>
      <c r="BH21" s="2715"/>
    </row>
    <row r="22" spans="1:60" s="2716" customFormat="1" ht="21.75" hidden="1" customHeight="1" x14ac:dyDescent="0.25">
      <c r="A22" s="2732" t="s">
        <v>23</v>
      </c>
      <c r="B22" s="2733" t="s">
        <v>502</v>
      </c>
      <c r="C22" s="2734">
        <f t="shared" si="5"/>
        <v>0</v>
      </c>
      <c r="D22" s="2735"/>
      <c r="E22" s="2735"/>
      <c r="F22" s="2735"/>
      <c r="G22" s="2735"/>
      <c r="H22" s="2735"/>
      <c r="I22" s="2735"/>
      <c r="J22" s="2735"/>
      <c r="K22" s="2735"/>
      <c r="L22" s="2735">
        <f t="shared" si="6"/>
        <v>0</v>
      </c>
      <c r="M22" s="2735">
        <f t="shared" si="7"/>
        <v>0</v>
      </c>
      <c r="N22" s="2735"/>
      <c r="O22" s="2735"/>
      <c r="P22" s="2737">
        <f t="shared" si="8"/>
        <v>0</v>
      </c>
      <c r="Q22" s="2737"/>
      <c r="R22" s="2737"/>
      <c r="S22" s="2735">
        <f t="shared" si="9"/>
        <v>0</v>
      </c>
      <c r="T22" s="2736"/>
      <c r="U22" s="2736"/>
      <c r="V22" s="2736"/>
      <c r="W22" s="2736"/>
      <c r="X22" s="2736"/>
      <c r="Y22" s="2736"/>
      <c r="Z22" s="2735"/>
      <c r="AA22" s="2735"/>
      <c r="AB22" s="2735"/>
      <c r="AC22" s="2735"/>
      <c r="AD22" s="2735">
        <f t="shared" si="10"/>
        <v>0</v>
      </c>
      <c r="AE22" s="2736"/>
      <c r="AF22" s="2735"/>
      <c r="AG22" s="2737">
        <f t="shared" si="11"/>
        <v>0</v>
      </c>
      <c r="AH22" s="2737"/>
      <c r="AI22" s="2737"/>
      <c r="AJ22" s="2737"/>
      <c r="AK22" s="2737"/>
      <c r="AL22" s="2737"/>
      <c r="AM22" s="2737"/>
      <c r="AN22" s="2737"/>
      <c r="AO22" s="2737"/>
      <c r="AP22" s="2735"/>
      <c r="AQ22" s="2735"/>
      <c r="AR22" s="2735"/>
      <c r="AS22" s="2682"/>
      <c r="AT22" s="2715"/>
      <c r="AU22" s="2715"/>
      <c r="AV22" s="2715"/>
      <c r="AW22" s="2715"/>
      <c r="AX22" s="2715"/>
      <c r="AY22" s="2715"/>
      <c r="AZ22" s="2715"/>
      <c r="BA22" s="2715"/>
      <c r="BB22" s="2715"/>
      <c r="BC22" s="2715"/>
      <c r="BD22" s="2715"/>
      <c r="BE22" s="2715"/>
      <c r="BF22" s="2715"/>
      <c r="BG22" s="2715"/>
      <c r="BH22" s="2715"/>
    </row>
    <row r="23" spans="1:60" s="2718" customFormat="1" ht="256.5" x14ac:dyDescent="0.25">
      <c r="A23" s="2726">
        <v>3</v>
      </c>
      <c r="B23" s="2731" t="s">
        <v>1417</v>
      </c>
      <c r="C23" s="2730">
        <f>C24+C27</f>
        <v>110000</v>
      </c>
      <c r="D23" s="2730">
        <f t="shared" ref="D23:L23" si="12">D24+D27</f>
        <v>0</v>
      </c>
      <c r="E23" s="2730">
        <f t="shared" si="12"/>
        <v>0</v>
      </c>
      <c r="F23" s="2730">
        <f t="shared" si="12"/>
        <v>0</v>
      </c>
      <c r="G23" s="2730">
        <f t="shared" si="12"/>
        <v>0</v>
      </c>
      <c r="H23" s="2730">
        <f t="shared" si="12"/>
        <v>0</v>
      </c>
      <c r="I23" s="2730">
        <f t="shared" si="12"/>
        <v>0</v>
      </c>
      <c r="J23" s="2730">
        <f t="shared" si="12"/>
        <v>0</v>
      </c>
      <c r="K23" s="2730">
        <f t="shared" si="12"/>
        <v>110000</v>
      </c>
      <c r="L23" s="2730">
        <f t="shared" si="12"/>
        <v>0</v>
      </c>
      <c r="M23" s="2730">
        <f>M24+M27</f>
        <v>300000</v>
      </c>
      <c r="N23" s="2730"/>
      <c r="O23" s="2730">
        <f>O24+O27</f>
        <v>300000</v>
      </c>
      <c r="P23" s="2739"/>
      <c r="Q23" s="2739"/>
      <c r="R23" s="2739"/>
      <c r="S23" s="2730">
        <f>S24+S27</f>
        <v>171319.4</v>
      </c>
      <c r="T23" s="2738"/>
      <c r="U23" s="2738"/>
      <c r="V23" s="2738"/>
      <c r="W23" s="2738"/>
      <c r="X23" s="2738"/>
      <c r="Y23" s="2738"/>
      <c r="Z23" s="2730"/>
      <c r="AA23" s="2730"/>
      <c r="AB23" s="2730"/>
      <c r="AC23" s="2730">
        <f>AC24+AC27</f>
        <v>171319.4</v>
      </c>
      <c r="AD23" s="2730"/>
      <c r="AE23" s="2738"/>
      <c r="AF23" s="2730">
        <f>AF24+AF27</f>
        <v>183570</v>
      </c>
      <c r="AG23" s="2739"/>
      <c r="AH23" s="2739"/>
      <c r="AI23" s="2739"/>
      <c r="AJ23" s="2739"/>
      <c r="AK23" s="2739"/>
      <c r="AL23" s="2739"/>
      <c r="AM23" s="2739"/>
      <c r="AN23" s="2739"/>
      <c r="AO23" s="2739"/>
      <c r="AP23" s="2730"/>
      <c r="AQ23" s="2730"/>
      <c r="AR23" s="2730"/>
      <c r="AS23" s="2677"/>
      <c r="AT23" s="2717"/>
      <c r="AU23" s="2717"/>
      <c r="AV23" s="2717"/>
      <c r="AW23" s="2717"/>
      <c r="AX23" s="2717"/>
      <c r="AY23" s="2717"/>
      <c r="AZ23" s="2717"/>
      <c r="BA23" s="2717"/>
      <c r="BB23" s="2717"/>
      <c r="BC23" s="2717"/>
      <c r="BD23" s="2717"/>
      <c r="BE23" s="2717"/>
      <c r="BF23" s="2717"/>
      <c r="BG23" s="2717"/>
      <c r="BH23" s="2717"/>
    </row>
    <row r="24" spans="1:60" s="2720" customFormat="1" ht="150" customHeight="1" x14ac:dyDescent="0.25">
      <c r="A24" s="2741" t="s">
        <v>573</v>
      </c>
      <c r="B24" s="2742" t="s">
        <v>2092</v>
      </c>
      <c r="C24" s="2735">
        <f>C25+C26</f>
        <v>0</v>
      </c>
      <c r="D24" s="2735"/>
      <c r="E24" s="2730"/>
      <c r="F24" s="2730"/>
      <c r="G24" s="2735"/>
      <c r="H24" s="2735"/>
      <c r="I24" s="2735"/>
      <c r="J24" s="2735"/>
      <c r="K24" s="2735"/>
      <c r="L24" s="2735"/>
      <c r="M24" s="2735">
        <f>M25+M26</f>
        <v>300000</v>
      </c>
      <c r="N24" s="2735"/>
      <c r="O24" s="2735">
        <f>O25+O26</f>
        <v>300000</v>
      </c>
      <c r="P24" s="2737"/>
      <c r="Q24" s="2739"/>
      <c r="R24" s="2739"/>
      <c r="S24" s="2735">
        <f>S25+S26</f>
        <v>116430</v>
      </c>
      <c r="T24" s="2736"/>
      <c r="U24" s="2736"/>
      <c r="V24" s="2736"/>
      <c r="W24" s="2736"/>
      <c r="X24" s="2736"/>
      <c r="Y24" s="2736"/>
      <c r="Z24" s="2735"/>
      <c r="AA24" s="2735"/>
      <c r="AB24" s="2735">
        <f>AB25+AB26</f>
        <v>0</v>
      </c>
      <c r="AC24" s="2735">
        <f>AC25+AC26</f>
        <v>116430</v>
      </c>
      <c r="AD24" s="2735"/>
      <c r="AE24" s="2736"/>
      <c r="AF24" s="2735">
        <f>AF25+AF26</f>
        <v>183570</v>
      </c>
      <c r="AG24" s="2737"/>
      <c r="AH24" s="2737"/>
      <c r="AI24" s="2737"/>
      <c r="AJ24" s="2737"/>
      <c r="AK24" s="2739"/>
      <c r="AL24" s="2739"/>
      <c r="AM24" s="2737"/>
      <c r="AN24" s="2737"/>
      <c r="AO24" s="2737"/>
      <c r="AP24" s="2735"/>
      <c r="AQ24" s="2735"/>
      <c r="AR24" s="2735"/>
      <c r="AS24" s="2682"/>
      <c r="AT24" s="2719"/>
      <c r="AU24" s="2719"/>
      <c r="AV24" s="2719"/>
      <c r="AW24" s="2719"/>
      <c r="AX24" s="2719"/>
      <c r="AY24" s="2719"/>
      <c r="AZ24" s="2719"/>
      <c r="BA24" s="2719"/>
      <c r="BB24" s="2719"/>
      <c r="BC24" s="2719"/>
      <c r="BD24" s="2719"/>
      <c r="BE24" s="2719"/>
      <c r="BF24" s="2719"/>
      <c r="BG24" s="2719"/>
      <c r="BH24" s="2719"/>
    </row>
    <row r="25" spans="1:60" s="2720" customFormat="1" ht="13.5" x14ac:dyDescent="0.25">
      <c r="A25" s="2741" t="s">
        <v>1000</v>
      </c>
      <c r="B25" s="2733" t="s">
        <v>1118</v>
      </c>
      <c r="C25" s="2735">
        <f>D25+E25</f>
        <v>0</v>
      </c>
      <c r="D25" s="2735"/>
      <c r="E25" s="2730"/>
      <c r="F25" s="2730"/>
      <c r="G25" s="2735"/>
      <c r="H25" s="2735"/>
      <c r="I25" s="2735"/>
      <c r="J25" s="2735"/>
      <c r="K25" s="2735"/>
      <c r="L25" s="2735"/>
      <c r="M25" s="2735">
        <f>N25+O25</f>
        <v>286000</v>
      </c>
      <c r="N25" s="2735"/>
      <c r="O25" s="2735">
        <v>286000</v>
      </c>
      <c r="P25" s="2737"/>
      <c r="Q25" s="2739"/>
      <c r="R25" s="2739"/>
      <c r="S25" s="2735">
        <f>SUM(Z25:AC25)</f>
        <v>116430</v>
      </c>
      <c r="T25" s="2736"/>
      <c r="U25" s="2736"/>
      <c r="V25" s="2736"/>
      <c r="W25" s="2736"/>
      <c r="X25" s="2736"/>
      <c r="Y25" s="2736"/>
      <c r="Z25" s="2735"/>
      <c r="AA25" s="2735"/>
      <c r="AB25" s="2730"/>
      <c r="AC25" s="2735">
        <f>100800+15630</f>
        <v>116430</v>
      </c>
      <c r="AD25" s="2735"/>
      <c r="AE25" s="2736"/>
      <c r="AF25" s="2735">
        <f>M25-S25</f>
        <v>169570</v>
      </c>
      <c r="AG25" s="2737"/>
      <c r="AH25" s="2737"/>
      <c r="AI25" s="2737"/>
      <c r="AJ25" s="2737"/>
      <c r="AK25" s="2739"/>
      <c r="AL25" s="2739"/>
      <c r="AM25" s="2737"/>
      <c r="AN25" s="2737"/>
      <c r="AO25" s="2737"/>
      <c r="AP25" s="2735"/>
      <c r="AQ25" s="2735"/>
      <c r="AR25" s="2735"/>
      <c r="AS25" s="2682"/>
      <c r="AT25" s="2719"/>
      <c r="AU25" s="2719"/>
      <c r="AV25" s="2719"/>
      <c r="AW25" s="2719"/>
      <c r="AX25" s="2719"/>
      <c r="AY25" s="2719"/>
      <c r="AZ25" s="2719"/>
      <c r="BA25" s="2719"/>
      <c r="BB25" s="2719"/>
      <c r="BC25" s="2719"/>
      <c r="BD25" s="2719"/>
      <c r="BE25" s="2719"/>
      <c r="BF25" s="2719"/>
      <c r="BG25" s="2719"/>
      <c r="BH25" s="2719"/>
    </row>
    <row r="26" spans="1:60" s="2720" customFormat="1" ht="13.5" x14ac:dyDescent="0.25">
      <c r="A26" s="2741" t="s">
        <v>1000</v>
      </c>
      <c r="B26" s="2733" t="s">
        <v>1119</v>
      </c>
      <c r="C26" s="2735">
        <f>D26+E26</f>
        <v>0</v>
      </c>
      <c r="D26" s="2735"/>
      <c r="E26" s="2730"/>
      <c r="F26" s="2730"/>
      <c r="G26" s="2735"/>
      <c r="H26" s="2735"/>
      <c r="I26" s="2735"/>
      <c r="J26" s="2735"/>
      <c r="K26" s="2735"/>
      <c r="L26" s="2735"/>
      <c r="M26" s="2735">
        <f>N26+O26</f>
        <v>14000</v>
      </c>
      <c r="N26" s="2735"/>
      <c r="O26" s="2735">
        <v>14000</v>
      </c>
      <c r="P26" s="2737"/>
      <c r="Q26" s="2739"/>
      <c r="R26" s="2739"/>
      <c r="S26" s="2735"/>
      <c r="T26" s="2736"/>
      <c r="U26" s="2736"/>
      <c r="V26" s="2736"/>
      <c r="W26" s="2736"/>
      <c r="X26" s="2736"/>
      <c r="Y26" s="2736"/>
      <c r="Z26" s="2735"/>
      <c r="AA26" s="2735"/>
      <c r="AB26" s="2730"/>
      <c r="AC26" s="2730"/>
      <c r="AD26" s="2735"/>
      <c r="AE26" s="2736"/>
      <c r="AF26" s="2735">
        <f>M26-S26</f>
        <v>14000</v>
      </c>
      <c r="AG26" s="2737"/>
      <c r="AH26" s="2737"/>
      <c r="AI26" s="2737"/>
      <c r="AJ26" s="2737"/>
      <c r="AK26" s="2739"/>
      <c r="AL26" s="2739"/>
      <c r="AM26" s="2737"/>
      <c r="AN26" s="2737"/>
      <c r="AO26" s="2737"/>
      <c r="AP26" s="2735"/>
      <c r="AQ26" s="2735"/>
      <c r="AR26" s="2735"/>
      <c r="AS26" s="2682"/>
      <c r="AT26" s="2719"/>
      <c r="AU26" s="2719"/>
      <c r="AV26" s="2719"/>
      <c r="AW26" s="2719"/>
      <c r="AX26" s="2719"/>
      <c r="AY26" s="2719"/>
      <c r="AZ26" s="2719"/>
      <c r="BA26" s="2719"/>
      <c r="BB26" s="2719"/>
      <c r="BC26" s="2719"/>
      <c r="BD26" s="2719"/>
      <c r="BE26" s="2719"/>
      <c r="BF26" s="2719"/>
      <c r="BG26" s="2719"/>
      <c r="BH26" s="2719"/>
    </row>
    <row r="27" spans="1:60" s="2720" customFormat="1" ht="103.5" customHeight="1" x14ac:dyDescent="0.25">
      <c r="A27" s="2741" t="s">
        <v>574</v>
      </c>
      <c r="B27" s="2742" t="s">
        <v>2093</v>
      </c>
      <c r="C27" s="2735">
        <f>C28+C29</f>
        <v>110000</v>
      </c>
      <c r="D27" s="2735"/>
      <c r="E27" s="2730"/>
      <c r="F27" s="2730"/>
      <c r="G27" s="2735"/>
      <c r="H27" s="2735"/>
      <c r="I27" s="2735"/>
      <c r="J27" s="2735"/>
      <c r="K27" s="2735">
        <f>K28+K29</f>
        <v>110000</v>
      </c>
      <c r="L27" s="2735"/>
      <c r="M27" s="2735">
        <f>M28+M29</f>
        <v>0</v>
      </c>
      <c r="N27" s="2737"/>
      <c r="O27" s="2735"/>
      <c r="P27" s="2737"/>
      <c r="Q27" s="2739"/>
      <c r="R27" s="2739"/>
      <c r="S27" s="2735">
        <f>S28+S29</f>
        <v>54889.4</v>
      </c>
      <c r="T27" s="2736"/>
      <c r="U27" s="2736"/>
      <c r="V27" s="2736"/>
      <c r="W27" s="2736"/>
      <c r="X27" s="2736"/>
      <c r="Y27" s="2736"/>
      <c r="Z27" s="2735"/>
      <c r="AA27" s="2735"/>
      <c r="AB27" s="2730"/>
      <c r="AC27" s="2735">
        <f>AC28+AC29</f>
        <v>54889.4</v>
      </c>
      <c r="AD27" s="2735"/>
      <c r="AE27" s="2736"/>
      <c r="AF27" s="2735"/>
      <c r="AG27" s="2737"/>
      <c r="AH27" s="2737"/>
      <c r="AI27" s="2737"/>
      <c r="AJ27" s="2737"/>
      <c r="AK27" s="2739"/>
      <c r="AL27" s="2739"/>
      <c r="AM27" s="2737"/>
      <c r="AN27" s="2737"/>
      <c r="AO27" s="2737"/>
      <c r="AP27" s="2735"/>
      <c r="AQ27" s="2735"/>
      <c r="AR27" s="2735">
        <f>AR28+AR29</f>
        <v>55110.6</v>
      </c>
      <c r="AS27" s="2682"/>
      <c r="AT27" s="2719"/>
      <c r="AU27" s="2719"/>
      <c r="AV27" s="2719"/>
      <c r="AW27" s="2719"/>
      <c r="AX27" s="2719"/>
      <c r="AY27" s="2719"/>
      <c r="AZ27" s="2719"/>
      <c r="BA27" s="2719"/>
      <c r="BB27" s="2719"/>
      <c r="BC27" s="2719"/>
      <c r="BD27" s="2719"/>
      <c r="BE27" s="2719"/>
      <c r="BF27" s="2719"/>
      <c r="BG27" s="2719"/>
      <c r="BH27" s="2719"/>
    </row>
    <row r="28" spans="1:60" s="2720" customFormat="1" ht="17.25" customHeight="1" x14ac:dyDescent="0.25">
      <c r="A28" s="2741" t="s">
        <v>1000</v>
      </c>
      <c r="B28" s="2733" t="s">
        <v>1118</v>
      </c>
      <c r="C28" s="2734">
        <f>J28+K28</f>
        <v>110000</v>
      </c>
      <c r="D28" s="2735"/>
      <c r="E28" s="2730"/>
      <c r="F28" s="2730"/>
      <c r="G28" s="2735"/>
      <c r="H28" s="2735"/>
      <c r="I28" s="2735"/>
      <c r="J28" s="2735"/>
      <c r="K28" s="2735">
        <v>110000</v>
      </c>
      <c r="L28" s="2735"/>
      <c r="M28" s="2735">
        <f>N28+O28</f>
        <v>0</v>
      </c>
      <c r="N28" s="2737"/>
      <c r="O28" s="2735"/>
      <c r="P28" s="2737"/>
      <c r="Q28" s="2739"/>
      <c r="R28" s="2739"/>
      <c r="S28" s="2735">
        <f>SUM(Z28:AC28)</f>
        <v>54889.4</v>
      </c>
      <c r="T28" s="2736"/>
      <c r="U28" s="2736"/>
      <c r="V28" s="2736"/>
      <c r="W28" s="2736"/>
      <c r="X28" s="2736"/>
      <c r="Y28" s="2736"/>
      <c r="Z28" s="2735"/>
      <c r="AA28" s="2735"/>
      <c r="AB28" s="2730"/>
      <c r="AC28" s="2735">
        <v>54889.4</v>
      </c>
      <c r="AD28" s="2735"/>
      <c r="AE28" s="2736"/>
      <c r="AF28" s="2735"/>
      <c r="AG28" s="2737">
        <f>SUM(AN28:AQ28)</f>
        <v>0</v>
      </c>
      <c r="AH28" s="2737"/>
      <c r="AI28" s="2737"/>
      <c r="AJ28" s="2737"/>
      <c r="AK28" s="2739"/>
      <c r="AL28" s="2739"/>
      <c r="AM28" s="2737"/>
      <c r="AN28" s="2737"/>
      <c r="AO28" s="2737"/>
      <c r="AP28" s="2735"/>
      <c r="AQ28" s="2735"/>
      <c r="AR28" s="2735">
        <f>C28-S28</f>
        <v>55110.6</v>
      </c>
      <c r="AS28" s="2682"/>
      <c r="AT28" s="2719"/>
      <c r="AU28" s="2719"/>
      <c r="AV28" s="2719"/>
      <c r="AW28" s="2719"/>
      <c r="AX28" s="2719"/>
      <c r="AY28" s="2719"/>
      <c r="AZ28" s="2719"/>
      <c r="BA28" s="2719"/>
      <c r="BB28" s="2719"/>
      <c r="BC28" s="2719"/>
      <c r="BD28" s="2719"/>
      <c r="BE28" s="2719"/>
      <c r="BF28" s="2719"/>
      <c r="BG28" s="2719"/>
      <c r="BH28" s="2719"/>
    </row>
    <row r="29" spans="1:60" s="2720" customFormat="1" ht="17.25" customHeight="1" x14ac:dyDescent="0.25">
      <c r="A29" s="2741" t="s">
        <v>1000</v>
      </c>
      <c r="B29" s="2733" t="s">
        <v>1119</v>
      </c>
      <c r="C29" s="2734"/>
      <c r="D29" s="2735"/>
      <c r="E29" s="2730"/>
      <c r="F29" s="2730"/>
      <c r="G29" s="2735"/>
      <c r="H29" s="2735"/>
      <c r="I29" s="2735"/>
      <c r="J29" s="2735"/>
      <c r="K29" s="2735"/>
      <c r="L29" s="2735"/>
      <c r="M29" s="2735"/>
      <c r="N29" s="2737"/>
      <c r="O29" s="2735"/>
      <c r="P29" s="2737"/>
      <c r="Q29" s="2739"/>
      <c r="R29" s="2739"/>
      <c r="S29" s="2737">
        <f>SUM(Z29:AC29)</f>
        <v>0</v>
      </c>
      <c r="T29" s="2737"/>
      <c r="U29" s="2737"/>
      <c r="V29" s="2737"/>
      <c r="W29" s="2737"/>
      <c r="X29" s="2737"/>
      <c r="Y29" s="2737"/>
      <c r="Z29" s="2737"/>
      <c r="AA29" s="2737"/>
      <c r="AB29" s="2739"/>
      <c r="AC29" s="2739"/>
      <c r="AD29" s="2735"/>
      <c r="AE29" s="2736"/>
      <c r="AF29" s="2735"/>
      <c r="AG29" s="2737"/>
      <c r="AH29" s="2737"/>
      <c r="AI29" s="2737"/>
      <c r="AJ29" s="2737"/>
      <c r="AK29" s="2739"/>
      <c r="AL29" s="2739"/>
      <c r="AM29" s="2737"/>
      <c r="AN29" s="2737"/>
      <c r="AO29" s="2737"/>
      <c r="AP29" s="2735"/>
      <c r="AQ29" s="2735"/>
      <c r="AR29" s="2735"/>
      <c r="AS29" s="2682"/>
      <c r="AT29" s="2719"/>
      <c r="AU29" s="2719"/>
      <c r="AV29" s="2719"/>
      <c r="AW29" s="2719"/>
      <c r="AX29" s="2719"/>
      <c r="AY29" s="2719"/>
      <c r="AZ29" s="2719"/>
      <c r="BA29" s="2719"/>
      <c r="BB29" s="2719"/>
      <c r="BC29" s="2719"/>
      <c r="BD29" s="2719"/>
      <c r="BE29" s="2719"/>
      <c r="BF29" s="2719"/>
      <c r="BG29" s="2719"/>
      <c r="BH29" s="2719"/>
    </row>
    <row r="30" spans="1:60" s="2720" customFormat="1" ht="149.25" customHeight="1" x14ac:dyDescent="0.25">
      <c r="A30" s="2741">
        <v>4</v>
      </c>
      <c r="B30" s="2743" t="s">
        <v>1418</v>
      </c>
      <c r="C30" s="2734">
        <f>C31</f>
        <v>123887.2</v>
      </c>
      <c r="D30" s="2735"/>
      <c r="E30" s="2730"/>
      <c r="F30" s="2730"/>
      <c r="G30" s="2735"/>
      <c r="H30" s="2735"/>
      <c r="I30" s="2735"/>
      <c r="J30" s="2735"/>
      <c r="K30" s="2734">
        <f>K31</f>
        <v>123887.2</v>
      </c>
      <c r="L30" s="2735"/>
      <c r="M30" s="2735"/>
      <c r="N30" s="2737"/>
      <c r="O30" s="2735"/>
      <c r="P30" s="2737"/>
      <c r="Q30" s="2739"/>
      <c r="R30" s="2739"/>
      <c r="S30" s="2737">
        <f>S31</f>
        <v>0</v>
      </c>
      <c r="T30" s="2737"/>
      <c r="U30" s="2737"/>
      <c r="V30" s="2737"/>
      <c r="W30" s="2737"/>
      <c r="X30" s="2737"/>
      <c r="Y30" s="2737"/>
      <c r="Z30" s="2737"/>
      <c r="AA30" s="2737"/>
      <c r="AB30" s="2739"/>
      <c r="AC30" s="2737">
        <f>AC31</f>
        <v>0</v>
      </c>
      <c r="AD30" s="2735"/>
      <c r="AE30" s="2736"/>
      <c r="AF30" s="2735"/>
      <c r="AG30" s="2737"/>
      <c r="AH30" s="2737"/>
      <c r="AI30" s="2737"/>
      <c r="AJ30" s="2737"/>
      <c r="AK30" s="2739"/>
      <c r="AL30" s="2739"/>
      <c r="AM30" s="2737"/>
      <c r="AN30" s="2737"/>
      <c r="AO30" s="2737"/>
      <c r="AP30" s="2735"/>
      <c r="AQ30" s="2735"/>
      <c r="AR30" s="2735">
        <f>AR31</f>
        <v>123887.2</v>
      </c>
      <c r="AS30" s="2682"/>
      <c r="AT30" s="2719"/>
      <c r="AU30" s="2719"/>
      <c r="AV30" s="2719"/>
      <c r="AW30" s="2719"/>
      <c r="AX30" s="2719"/>
      <c r="AY30" s="2719"/>
      <c r="AZ30" s="2719"/>
      <c r="BA30" s="2719"/>
      <c r="BB30" s="2719"/>
      <c r="BC30" s="2719"/>
      <c r="BD30" s="2719"/>
      <c r="BE30" s="2719"/>
      <c r="BF30" s="2719"/>
      <c r="BG30" s="2719"/>
      <c r="BH30" s="2719"/>
    </row>
    <row r="31" spans="1:60" s="2720" customFormat="1" ht="45" customHeight="1" x14ac:dyDescent="0.25">
      <c r="A31" s="2741"/>
      <c r="B31" s="2744" t="s">
        <v>2094</v>
      </c>
      <c r="C31" s="2735">
        <f>C32+C33</f>
        <v>123887.2</v>
      </c>
      <c r="D31" s="2735"/>
      <c r="E31" s="2730"/>
      <c r="F31" s="2730"/>
      <c r="G31" s="2735"/>
      <c r="H31" s="2735"/>
      <c r="I31" s="2735"/>
      <c r="J31" s="2735"/>
      <c r="K31" s="2735">
        <f>K32+K33</f>
        <v>123887.2</v>
      </c>
      <c r="L31" s="2735"/>
      <c r="M31" s="2735"/>
      <c r="N31" s="2737"/>
      <c r="O31" s="2735"/>
      <c r="P31" s="2737"/>
      <c r="Q31" s="2739"/>
      <c r="R31" s="2739"/>
      <c r="S31" s="2737">
        <f>S32+S33</f>
        <v>0</v>
      </c>
      <c r="T31" s="2737"/>
      <c r="U31" s="2737"/>
      <c r="V31" s="2737"/>
      <c r="W31" s="2737"/>
      <c r="X31" s="2737"/>
      <c r="Y31" s="2737"/>
      <c r="Z31" s="2737"/>
      <c r="AA31" s="2737"/>
      <c r="AB31" s="2739"/>
      <c r="AC31" s="2737">
        <f>AC32+AC33</f>
        <v>0</v>
      </c>
      <c r="AD31" s="2735"/>
      <c r="AE31" s="2736"/>
      <c r="AF31" s="2735"/>
      <c r="AG31" s="2737"/>
      <c r="AH31" s="2737"/>
      <c r="AI31" s="2737"/>
      <c r="AJ31" s="2737"/>
      <c r="AK31" s="2739"/>
      <c r="AL31" s="2739"/>
      <c r="AM31" s="2737"/>
      <c r="AN31" s="2737"/>
      <c r="AO31" s="2737"/>
      <c r="AP31" s="2735"/>
      <c r="AQ31" s="2735"/>
      <c r="AR31" s="2735">
        <f>AR32+AR33</f>
        <v>123887.2</v>
      </c>
      <c r="AS31" s="2682"/>
      <c r="AT31" s="2719"/>
      <c r="AU31" s="2719"/>
      <c r="AV31" s="2719"/>
      <c r="AW31" s="2719"/>
      <c r="AX31" s="2719"/>
      <c r="AY31" s="2719"/>
      <c r="AZ31" s="2719"/>
      <c r="BA31" s="2719"/>
      <c r="BB31" s="2719"/>
      <c r="BC31" s="2719"/>
      <c r="BD31" s="2719"/>
      <c r="BE31" s="2719"/>
      <c r="BF31" s="2719"/>
      <c r="BG31" s="2719"/>
      <c r="BH31" s="2719"/>
    </row>
    <row r="32" spans="1:60" s="2720" customFormat="1" ht="16.5" customHeight="1" x14ac:dyDescent="0.25">
      <c r="A32" s="2741" t="s">
        <v>1000</v>
      </c>
      <c r="B32" s="2733" t="s">
        <v>1118</v>
      </c>
      <c r="C32" s="2734">
        <f>J32+K32</f>
        <v>102887.2</v>
      </c>
      <c r="D32" s="2735"/>
      <c r="E32" s="2730"/>
      <c r="F32" s="2730"/>
      <c r="G32" s="2735"/>
      <c r="H32" s="2735"/>
      <c r="I32" s="2735"/>
      <c r="J32" s="2735"/>
      <c r="K32" s="2735">
        <v>102887.2</v>
      </c>
      <c r="L32" s="2735"/>
      <c r="M32" s="2735"/>
      <c r="N32" s="2737"/>
      <c r="O32" s="2735"/>
      <c r="P32" s="2737"/>
      <c r="Q32" s="2739"/>
      <c r="R32" s="2739"/>
      <c r="S32" s="2737">
        <f>SUM(Z32:AC32)</f>
        <v>0</v>
      </c>
      <c r="T32" s="2737"/>
      <c r="U32" s="2737"/>
      <c r="V32" s="2737"/>
      <c r="W32" s="2737"/>
      <c r="X32" s="2737"/>
      <c r="Y32" s="2737"/>
      <c r="Z32" s="2737"/>
      <c r="AA32" s="2737"/>
      <c r="AB32" s="2739"/>
      <c r="AC32" s="2737">
        <v>0</v>
      </c>
      <c r="AD32" s="2735"/>
      <c r="AE32" s="2736"/>
      <c r="AF32" s="2735"/>
      <c r="AG32" s="2737"/>
      <c r="AH32" s="2737"/>
      <c r="AI32" s="2737"/>
      <c r="AJ32" s="2737"/>
      <c r="AK32" s="2739"/>
      <c r="AL32" s="2739"/>
      <c r="AM32" s="2737"/>
      <c r="AN32" s="2737"/>
      <c r="AO32" s="2737"/>
      <c r="AP32" s="2735"/>
      <c r="AQ32" s="2735"/>
      <c r="AR32" s="2735">
        <f>C32-S32</f>
        <v>102887.2</v>
      </c>
      <c r="AS32" s="2682"/>
      <c r="AT32" s="2719"/>
      <c r="AU32" s="2719"/>
      <c r="AV32" s="2719"/>
      <c r="AW32" s="2719"/>
      <c r="AX32" s="2719"/>
      <c r="AY32" s="2719"/>
      <c r="AZ32" s="2719"/>
      <c r="BA32" s="2719"/>
      <c r="BB32" s="2719"/>
      <c r="BC32" s="2719"/>
      <c r="BD32" s="2719"/>
      <c r="BE32" s="2719"/>
      <c r="BF32" s="2719"/>
      <c r="BG32" s="2719"/>
      <c r="BH32" s="2719"/>
    </row>
    <row r="33" spans="1:60" s="2720" customFormat="1" ht="16.5" customHeight="1" x14ac:dyDescent="0.25">
      <c r="A33" s="2741" t="s">
        <v>1000</v>
      </c>
      <c r="B33" s="2733" t="s">
        <v>1119</v>
      </c>
      <c r="C33" s="2734">
        <f>J33+K33</f>
        <v>21000</v>
      </c>
      <c r="D33" s="2735"/>
      <c r="E33" s="2730"/>
      <c r="F33" s="2730"/>
      <c r="G33" s="2735"/>
      <c r="H33" s="2735"/>
      <c r="I33" s="2735"/>
      <c r="J33" s="2735"/>
      <c r="K33" s="2735">
        <v>21000</v>
      </c>
      <c r="L33" s="2735"/>
      <c r="M33" s="2735"/>
      <c r="N33" s="2737"/>
      <c r="O33" s="2735"/>
      <c r="P33" s="2737"/>
      <c r="Q33" s="2739"/>
      <c r="R33" s="2739"/>
      <c r="S33" s="2737">
        <f>SUM(Z33:AC33)</f>
        <v>0</v>
      </c>
      <c r="T33" s="2737"/>
      <c r="U33" s="2737"/>
      <c r="V33" s="2737"/>
      <c r="W33" s="2737"/>
      <c r="X33" s="2737"/>
      <c r="Y33" s="2737"/>
      <c r="Z33" s="2737"/>
      <c r="AA33" s="2737"/>
      <c r="AB33" s="2739"/>
      <c r="AC33" s="2737">
        <v>0</v>
      </c>
      <c r="AD33" s="2735"/>
      <c r="AE33" s="2736"/>
      <c r="AF33" s="2735"/>
      <c r="AG33" s="2737"/>
      <c r="AH33" s="2737"/>
      <c r="AI33" s="2737"/>
      <c r="AJ33" s="2737"/>
      <c r="AK33" s="2739"/>
      <c r="AL33" s="2739"/>
      <c r="AM33" s="2737"/>
      <c r="AN33" s="2737"/>
      <c r="AO33" s="2737"/>
      <c r="AP33" s="2735"/>
      <c r="AQ33" s="2735"/>
      <c r="AR33" s="2735">
        <f>C33-S33</f>
        <v>21000</v>
      </c>
      <c r="AS33" s="2682"/>
      <c r="AT33" s="2719"/>
      <c r="AU33" s="2719"/>
      <c r="AV33" s="2719"/>
      <c r="AW33" s="2719"/>
      <c r="AX33" s="2719"/>
      <c r="AY33" s="2719"/>
      <c r="AZ33" s="2719"/>
      <c r="BA33" s="2719"/>
      <c r="BB33" s="2719"/>
      <c r="BC33" s="2719"/>
      <c r="BD33" s="2719"/>
      <c r="BE33" s="2719"/>
      <c r="BF33" s="2719"/>
      <c r="BG33" s="2719"/>
      <c r="BH33" s="2719"/>
    </row>
    <row r="34" spans="1:60" s="2720" customFormat="1" ht="108" x14ac:dyDescent="0.25">
      <c r="A34" s="2741">
        <v>5</v>
      </c>
      <c r="B34" s="2743" t="s">
        <v>1419</v>
      </c>
      <c r="C34" s="2734">
        <f>C35</f>
        <v>0</v>
      </c>
      <c r="D34" s="2735"/>
      <c r="E34" s="2730"/>
      <c r="F34" s="2730"/>
      <c r="G34" s="2735"/>
      <c r="H34" s="2735"/>
      <c r="I34" s="2735"/>
      <c r="J34" s="2735"/>
      <c r="K34" s="2734">
        <f>K35</f>
        <v>0</v>
      </c>
      <c r="L34" s="2735">
        <f>L35</f>
        <v>35000</v>
      </c>
      <c r="M34" s="2735">
        <f>M35</f>
        <v>35000</v>
      </c>
      <c r="N34" s="2737"/>
      <c r="O34" s="2735">
        <f>O35</f>
        <v>35000</v>
      </c>
      <c r="P34" s="2737">
        <f>P35</f>
        <v>0</v>
      </c>
      <c r="Q34" s="2737"/>
      <c r="R34" s="2737">
        <f>R35</f>
        <v>0</v>
      </c>
      <c r="S34" s="2735">
        <f>S35</f>
        <v>13850</v>
      </c>
      <c r="T34" s="2736"/>
      <c r="U34" s="2736"/>
      <c r="V34" s="2736"/>
      <c r="W34" s="2736"/>
      <c r="X34" s="2736"/>
      <c r="Y34" s="2736"/>
      <c r="Z34" s="2735"/>
      <c r="AA34" s="2735"/>
      <c r="AB34" s="2730"/>
      <c r="AC34" s="2735">
        <f>AC35</f>
        <v>13850</v>
      </c>
      <c r="AD34" s="2735"/>
      <c r="AE34" s="2736"/>
      <c r="AF34" s="2735"/>
      <c r="AG34" s="2737"/>
      <c r="AH34" s="2737"/>
      <c r="AI34" s="2737"/>
      <c r="AJ34" s="2737"/>
      <c r="AK34" s="2739"/>
      <c r="AL34" s="2739"/>
      <c r="AM34" s="2737"/>
      <c r="AN34" s="2737"/>
      <c r="AO34" s="2737"/>
      <c r="AP34" s="2735"/>
      <c r="AQ34" s="2735"/>
      <c r="AR34" s="2735">
        <f>AR35</f>
        <v>21150</v>
      </c>
      <c r="AS34" s="2682"/>
      <c r="AT34" s="2719"/>
      <c r="AU34" s="2719"/>
      <c r="AV34" s="2719"/>
      <c r="AW34" s="2719"/>
      <c r="AX34" s="2719"/>
      <c r="AY34" s="2719"/>
      <c r="AZ34" s="2719"/>
      <c r="BA34" s="2719"/>
      <c r="BB34" s="2719"/>
      <c r="BC34" s="2719"/>
      <c r="BD34" s="2719"/>
      <c r="BE34" s="2719"/>
      <c r="BF34" s="2719"/>
      <c r="BG34" s="2719"/>
      <c r="BH34" s="2719"/>
    </row>
    <row r="35" spans="1:60" s="2720" customFormat="1" ht="148.5" x14ac:dyDescent="0.25">
      <c r="A35" s="2741"/>
      <c r="B35" s="2745" t="s">
        <v>2095</v>
      </c>
      <c r="C35" s="2761">
        <f>C36+C37</f>
        <v>0</v>
      </c>
      <c r="D35" s="2737"/>
      <c r="E35" s="2739"/>
      <c r="F35" s="2739"/>
      <c r="G35" s="2737"/>
      <c r="H35" s="2737"/>
      <c r="I35" s="2737"/>
      <c r="J35" s="2737"/>
      <c r="K35" s="2761">
        <f>K36+K37</f>
        <v>0</v>
      </c>
      <c r="L35" s="2736">
        <f>L36+L37</f>
        <v>35000</v>
      </c>
      <c r="M35" s="2736">
        <f>M36+M37</f>
        <v>35000</v>
      </c>
      <c r="N35" s="2737"/>
      <c r="O35" s="2736">
        <f>O36+O37</f>
        <v>35000</v>
      </c>
      <c r="P35" s="2737">
        <f>P36+P37</f>
        <v>0</v>
      </c>
      <c r="Q35" s="2737"/>
      <c r="R35" s="2737">
        <f>R36+R37</f>
        <v>0</v>
      </c>
      <c r="S35" s="2736">
        <f>S36+S37</f>
        <v>13850</v>
      </c>
      <c r="T35" s="2736"/>
      <c r="U35" s="2736"/>
      <c r="V35" s="2736"/>
      <c r="W35" s="2736"/>
      <c r="X35" s="2736"/>
      <c r="Y35" s="2736"/>
      <c r="Z35" s="2736"/>
      <c r="AA35" s="2736"/>
      <c r="AB35" s="2738"/>
      <c r="AC35" s="2736">
        <f>AC36+AC37</f>
        <v>13850</v>
      </c>
      <c r="AD35" s="2736"/>
      <c r="AE35" s="2736"/>
      <c r="AF35" s="2736"/>
      <c r="AG35" s="2737"/>
      <c r="AH35" s="2737"/>
      <c r="AI35" s="2737"/>
      <c r="AJ35" s="2737"/>
      <c r="AK35" s="2739"/>
      <c r="AL35" s="2739"/>
      <c r="AM35" s="2737"/>
      <c r="AN35" s="2737"/>
      <c r="AO35" s="2737"/>
      <c r="AP35" s="2736"/>
      <c r="AQ35" s="2736"/>
      <c r="AR35" s="2736">
        <f>AR36+AR37</f>
        <v>21150</v>
      </c>
      <c r="AS35" s="2682"/>
      <c r="AT35" s="2719"/>
      <c r="AU35" s="2719"/>
      <c r="AV35" s="2719"/>
      <c r="AW35" s="2719"/>
      <c r="AX35" s="2719"/>
      <c r="AY35" s="2719"/>
      <c r="AZ35" s="2719"/>
      <c r="BA35" s="2719"/>
      <c r="BB35" s="2719"/>
      <c r="BC35" s="2719"/>
      <c r="BD35" s="2719"/>
      <c r="BE35" s="2719"/>
      <c r="BF35" s="2719"/>
      <c r="BG35" s="2719"/>
      <c r="BH35" s="2719"/>
    </row>
    <row r="36" spans="1:60" s="2720" customFormat="1" ht="16.5" customHeight="1" x14ac:dyDescent="0.25">
      <c r="A36" s="2741" t="s">
        <v>1000</v>
      </c>
      <c r="B36" s="2733" t="s">
        <v>1118</v>
      </c>
      <c r="C36" s="2761">
        <f>J36+K36</f>
        <v>0</v>
      </c>
      <c r="D36" s="2737"/>
      <c r="E36" s="2739"/>
      <c r="F36" s="2739"/>
      <c r="G36" s="2737"/>
      <c r="H36" s="2737"/>
      <c r="I36" s="2737"/>
      <c r="J36" s="2737"/>
      <c r="K36" s="2737"/>
      <c r="L36" s="2736">
        <f>M36+P36</f>
        <v>33000</v>
      </c>
      <c r="M36" s="2736">
        <f>N36+O36</f>
        <v>33000</v>
      </c>
      <c r="N36" s="2737"/>
      <c r="O36" s="2736">
        <v>33000</v>
      </c>
      <c r="P36" s="2737">
        <f>Q36+R36</f>
        <v>0</v>
      </c>
      <c r="Q36" s="2739"/>
      <c r="R36" s="2739"/>
      <c r="S36" s="2736">
        <f>SUM(Z36:AC36)</f>
        <v>13850</v>
      </c>
      <c r="T36" s="2736"/>
      <c r="U36" s="2736"/>
      <c r="V36" s="2736"/>
      <c r="W36" s="2736"/>
      <c r="X36" s="2736"/>
      <c r="Y36" s="2736"/>
      <c r="Z36" s="2736"/>
      <c r="AA36" s="2736"/>
      <c r="AB36" s="2738"/>
      <c r="AC36" s="2736">
        <v>13850</v>
      </c>
      <c r="AD36" s="2736"/>
      <c r="AE36" s="2736"/>
      <c r="AF36" s="2736"/>
      <c r="AG36" s="2737"/>
      <c r="AH36" s="2737"/>
      <c r="AI36" s="2737"/>
      <c r="AJ36" s="2737"/>
      <c r="AK36" s="2739"/>
      <c r="AL36" s="2739"/>
      <c r="AM36" s="2737"/>
      <c r="AN36" s="2737"/>
      <c r="AO36" s="2737"/>
      <c r="AP36" s="2736"/>
      <c r="AQ36" s="2736"/>
      <c r="AR36" s="2736">
        <f>M36-S36</f>
        <v>19150</v>
      </c>
      <c r="AS36" s="2682"/>
      <c r="AT36" s="2719"/>
      <c r="AU36" s="2719"/>
      <c r="AV36" s="2719"/>
      <c r="AW36" s="2719"/>
      <c r="AX36" s="2719"/>
      <c r="AY36" s="2719"/>
      <c r="AZ36" s="2719"/>
      <c r="BA36" s="2719"/>
      <c r="BB36" s="2719"/>
      <c r="BC36" s="2719"/>
      <c r="BD36" s="2719"/>
      <c r="BE36" s="2719"/>
      <c r="BF36" s="2719"/>
      <c r="BG36" s="2719"/>
      <c r="BH36" s="2719"/>
    </row>
    <row r="37" spans="1:60" s="2720" customFormat="1" ht="16.5" customHeight="1" x14ac:dyDescent="0.25">
      <c r="A37" s="2741" t="s">
        <v>1000</v>
      </c>
      <c r="B37" s="2733" t="s">
        <v>1119</v>
      </c>
      <c r="C37" s="2761">
        <f>J37+K37</f>
        <v>0</v>
      </c>
      <c r="D37" s="2737"/>
      <c r="E37" s="2739"/>
      <c r="F37" s="2739"/>
      <c r="G37" s="2737"/>
      <c r="H37" s="2737"/>
      <c r="I37" s="2737"/>
      <c r="J37" s="2737"/>
      <c r="K37" s="2737"/>
      <c r="L37" s="2736">
        <f>M37+P37</f>
        <v>2000</v>
      </c>
      <c r="M37" s="2736">
        <f>N37+O37</f>
        <v>2000</v>
      </c>
      <c r="N37" s="2737"/>
      <c r="O37" s="2736">
        <v>2000</v>
      </c>
      <c r="P37" s="2737">
        <f>Q37+R37</f>
        <v>0</v>
      </c>
      <c r="Q37" s="2739"/>
      <c r="R37" s="2739"/>
      <c r="S37" s="2736">
        <f>SUM(Z37:AC37)</f>
        <v>0</v>
      </c>
      <c r="T37" s="2736"/>
      <c r="U37" s="2736"/>
      <c r="V37" s="2736"/>
      <c r="W37" s="2736"/>
      <c r="X37" s="2736"/>
      <c r="Y37" s="2736"/>
      <c r="Z37" s="2736"/>
      <c r="AA37" s="2736"/>
      <c r="AB37" s="2738"/>
      <c r="AC37" s="2738"/>
      <c r="AD37" s="2736"/>
      <c r="AE37" s="2736"/>
      <c r="AF37" s="2736"/>
      <c r="AG37" s="2737"/>
      <c r="AH37" s="2737"/>
      <c r="AI37" s="2737"/>
      <c r="AJ37" s="2737"/>
      <c r="AK37" s="2739"/>
      <c r="AL37" s="2739"/>
      <c r="AM37" s="2737"/>
      <c r="AN37" s="2737"/>
      <c r="AO37" s="2737"/>
      <c r="AP37" s="2736"/>
      <c r="AQ37" s="2736"/>
      <c r="AR37" s="2736">
        <f>M37-S37</f>
        <v>2000</v>
      </c>
      <c r="AS37" s="2682"/>
      <c r="AT37" s="2719"/>
      <c r="AU37" s="2719"/>
      <c r="AV37" s="2719"/>
      <c r="AW37" s="2719"/>
      <c r="AX37" s="2719"/>
      <c r="AY37" s="2719"/>
      <c r="AZ37" s="2719"/>
      <c r="BA37" s="2719"/>
      <c r="BB37" s="2719"/>
      <c r="BC37" s="2719"/>
      <c r="BD37" s="2719"/>
      <c r="BE37" s="2719"/>
      <c r="BF37" s="2719"/>
      <c r="BG37" s="2719"/>
      <c r="BH37" s="2719"/>
    </row>
    <row r="38" spans="1:60" s="2681" customFormat="1" ht="33.75" customHeight="1" x14ac:dyDescent="0.25">
      <c r="A38" s="2726" t="s">
        <v>11</v>
      </c>
      <c r="B38" s="2731" t="s">
        <v>1122</v>
      </c>
      <c r="C38" s="2728">
        <f>SUM(C39:I40)</f>
        <v>732554.98800000001</v>
      </c>
      <c r="D38" s="2728">
        <f t="shared" ref="D38:I38" si="13">SUM(D39:J40)</f>
        <v>0</v>
      </c>
      <c r="E38" s="2728">
        <f t="shared" si="13"/>
        <v>732554.98800000001</v>
      </c>
      <c r="F38" s="2728">
        <f t="shared" si="13"/>
        <v>2067414.9880000001</v>
      </c>
      <c r="G38" s="2728">
        <f t="shared" si="13"/>
        <v>3402274.9879999999</v>
      </c>
      <c r="H38" s="2728">
        <f t="shared" si="13"/>
        <v>3402274.9879999999</v>
      </c>
      <c r="I38" s="2728">
        <f t="shared" si="13"/>
        <v>4737134.9879999999</v>
      </c>
      <c r="J38" s="2728">
        <f>SUM(J39:J41)</f>
        <v>0</v>
      </c>
      <c r="K38" s="2728">
        <f t="shared" ref="K38:Q38" si="14">SUM(K39:K41)</f>
        <v>732554.98800000001</v>
      </c>
      <c r="L38" s="2746">
        <f t="shared" si="14"/>
        <v>1334860</v>
      </c>
      <c r="M38" s="2746">
        <f t="shared" si="14"/>
        <v>1334860</v>
      </c>
      <c r="N38" s="2728">
        <f t="shared" si="14"/>
        <v>0</v>
      </c>
      <c r="O38" s="2746">
        <f t="shared" si="14"/>
        <v>1334860</v>
      </c>
      <c r="P38" s="2728">
        <f t="shared" si="14"/>
        <v>0</v>
      </c>
      <c r="Q38" s="2728">
        <f t="shared" si="14"/>
        <v>0</v>
      </c>
      <c r="R38" s="2728">
        <f>SUM(R39:R41)</f>
        <v>0</v>
      </c>
      <c r="S38" s="2746">
        <f t="shared" ref="S38:AQ38" si="15">SUM(S39:S41)</f>
        <v>723504.32000000007</v>
      </c>
      <c r="T38" s="2746">
        <f t="shared" si="15"/>
        <v>0</v>
      </c>
      <c r="U38" s="2746">
        <f t="shared" si="15"/>
        <v>0</v>
      </c>
      <c r="V38" s="2746">
        <f t="shared" si="15"/>
        <v>0</v>
      </c>
      <c r="W38" s="2746">
        <f t="shared" si="15"/>
        <v>0</v>
      </c>
      <c r="X38" s="2746">
        <f t="shared" si="15"/>
        <v>0</v>
      </c>
      <c r="Y38" s="2746">
        <f t="shared" si="15"/>
        <v>0</v>
      </c>
      <c r="Z38" s="2728">
        <f t="shared" si="15"/>
        <v>0</v>
      </c>
      <c r="AA38" s="2728">
        <f t="shared" si="15"/>
        <v>303630.2</v>
      </c>
      <c r="AB38" s="2728">
        <f t="shared" si="15"/>
        <v>0</v>
      </c>
      <c r="AC38" s="2746">
        <f t="shared" si="15"/>
        <v>419874.12</v>
      </c>
      <c r="AD38" s="2769">
        <f t="shared" si="15"/>
        <v>903128.7</v>
      </c>
      <c r="AE38" s="2728">
        <f t="shared" si="15"/>
        <v>0</v>
      </c>
      <c r="AF38" s="2746">
        <f t="shared" si="15"/>
        <v>903128.7</v>
      </c>
      <c r="AG38" s="2728">
        <f t="shared" si="15"/>
        <v>0</v>
      </c>
      <c r="AH38" s="2728">
        <f t="shared" si="15"/>
        <v>0</v>
      </c>
      <c r="AI38" s="2728">
        <f t="shared" si="15"/>
        <v>0</v>
      </c>
      <c r="AJ38" s="2728">
        <f t="shared" si="15"/>
        <v>0</v>
      </c>
      <c r="AK38" s="2728">
        <f t="shared" si="15"/>
        <v>0</v>
      </c>
      <c r="AL38" s="2728">
        <f t="shared" si="15"/>
        <v>0</v>
      </c>
      <c r="AM38" s="2728">
        <f t="shared" si="15"/>
        <v>0</v>
      </c>
      <c r="AN38" s="2728">
        <f t="shared" si="15"/>
        <v>0</v>
      </c>
      <c r="AO38" s="2728">
        <f t="shared" si="15"/>
        <v>0</v>
      </c>
      <c r="AP38" s="2728">
        <f t="shared" si="15"/>
        <v>0</v>
      </c>
      <c r="AQ38" s="2728">
        <f t="shared" si="15"/>
        <v>0</v>
      </c>
      <c r="AR38" s="2746">
        <f>SUM(AR39:AR41)</f>
        <v>440781.96799999999</v>
      </c>
      <c r="AS38" s="2677"/>
      <c r="AT38" s="2680"/>
      <c r="AU38" s="2680"/>
      <c r="AV38" s="2680"/>
      <c r="AW38" s="2680"/>
      <c r="AX38" s="2680"/>
      <c r="AY38" s="2680"/>
      <c r="AZ38" s="2680"/>
      <c r="BA38" s="2680"/>
      <c r="BB38" s="2680"/>
      <c r="BC38" s="2680"/>
      <c r="BD38" s="2680"/>
      <c r="BE38" s="2680"/>
      <c r="BF38" s="2680"/>
      <c r="BG38" s="2680"/>
      <c r="BH38" s="2680"/>
    </row>
    <row r="39" spans="1:60" s="2716" customFormat="1" ht="16.5" customHeight="1" x14ac:dyDescent="0.25">
      <c r="A39" s="2732" t="s">
        <v>23</v>
      </c>
      <c r="B39" s="2733" t="s">
        <v>1118</v>
      </c>
      <c r="C39" s="2761">
        <f>J39+K39</f>
        <v>693864.18799999997</v>
      </c>
      <c r="D39" s="2737"/>
      <c r="E39" s="2737"/>
      <c r="F39" s="2737"/>
      <c r="G39" s="2737"/>
      <c r="H39" s="2737"/>
      <c r="I39" s="2737"/>
      <c r="J39" s="2737">
        <f>J43+J47+J51+J67+J75</f>
        <v>0</v>
      </c>
      <c r="K39" s="2737">
        <f>K43+K47+K51+K67+K75</f>
        <v>693864.18799999997</v>
      </c>
      <c r="L39" s="2736">
        <f>M39+P39</f>
        <v>1299860</v>
      </c>
      <c r="M39" s="2736">
        <f>N39+O39</f>
        <v>1299860</v>
      </c>
      <c r="N39" s="2737">
        <f>N43+N47+N51+N63+N75</f>
        <v>0</v>
      </c>
      <c r="O39" s="2736">
        <f>O43+O47+O51+O63+O75</f>
        <v>1299860</v>
      </c>
      <c r="P39" s="2761">
        <f>W39+X39</f>
        <v>0</v>
      </c>
      <c r="Q39" s="2737">
        <f>Q43+Q47+Q51+Q67+Q75</f>
        <v>0</v>
      </c>
      <c r="R39" s="2737">
        <f>R43+R47+R51+R67+R75</f>
        <v>0</v>
      </c>
      <c r="S39" s="2736">
        <f>SUM(Z39:AC39)</f>
        <v>710471.06</v>
      </c>
      <c r="T39" s="2736"/>
      <c r="U39" s="2736"/>
      <c r="V39" s="2736"/>
      <c r="W39" s="2736"/>
      <c r="X39" s="2736"/>
      <c r="Y39" s="2736"/>
      <c r="Z39" s="2737">
        <f>Z43+Z47+Z51+Z67+Z75</f>
        <v>0</v>
      </c>
      <c r="AA39" s="2767">
        <f>AA43+AA47+AA51+AA63+AA75</f>
        <v>301980</v>
      </c>
      <c r="AB39" s="2737">
        <f>AB43+AB47+AB51+AB67+AB75</f>
        <v>0</v>
      </c>
      <c r="AC39" s="2736">
        <f>AC43+AC47+AC51+AC63+AC75</f>
        <v>408491.06</v>
      </c>
      <c r="AD39" s="2736">
        <f>AE39+AF39</f>
        <v>881010.44</v>
      </c>
      <c r="AE39" s="2737">
        <f>AE43+AE47+AE51+AE67+AE75</f>
        <v>0</v>
      </c>
      <c r="AF39" s="2736">
        <f>AF43+AF47+AF51+AF63+AF75</f>
        <v>881010.44</v>
      </c>
      <c r="AG39" s="2737"/>
      <c r="AH39" s="2737"/>
      <c r="AI39" s="2737"/>
      <c r="AJ39" s="2737"/>
      <c r="AK39" s="2737"/>
      <c r="AL39" s="2737"/>
      <c r="AM39" s="2737"/>
      <c r="AN39" s="2737">
        <f>AN43+AN47+AN51+AN67+AN75</f>
        <v>0</v>
      </c>
      <c r="AO39" s="2737">
        <f>AO43+AO47+AO51+AO67+AO75</f>
        <v>0</v>
      </c>
      <c r="AP39" s="2737">
        <f>AP43+AP47+AP51+AP67+AP75</f>
        <v>0</v>
      </c>
      <c r="AQ39" s="2737">
        <f>AQ43+AQ47+AQ51+AQ67+AQ75</f>
        <v>0</v>
      </c>
      <c r="AR39" s="2736">
        <f>AR43+AR47+AR51+AR67+AR75</f>
        <v>402242.68799999997</v>
      </c>
      <c r="AS39" s="2682"/>
      <c r="AT39" s="2715"/>
      <c r="AU39" s="2715"/>
      <c r="AV39" s="2715"/>
      <c r="AW39" s="2715"/>
      <c r="AX39" s="2715"/>
      <c r="AY39" s="2715"/>
      <c r="AZ39" s="2715"/>
      <c r="BA39" s="2715"/>
      <c r="BB39" s="2715"/>
      <c r="BC39" s="2715"/>
      <c r="BD39" s="2715"/>
      <c r="BE39" s="2715"/>
      <c r="BF39" s="2715"/>
      <c r="BG39" s="2715"/>
      <c r="BH39" s="2715"/>
    </row>
    <row r="40" spans="1:60" s="2716" customFormat="1" ht="16.5" customHeight="1" x14ac:dyDescent="0.25">
      <c r="A40" s="2732" t="s">
        <v>23</v>
      </c>
      <c r="B40" s="2733" t="s">
        <v>1119</v>
      </c>
      <c r="C40" s="2761">
        <f t="shared" ref="C40:C41" si="16">J40+K40</f>
        <v>38690.799999999996</v>
      </c>
      <c r="D40" s="2737"/>
      <c r="E40" s="2737"/>
      <c r="F40" s="2737"/>
      <c r="G40" s="2737"/>
      <c r="H40" s="2737"/>
      <c r="I40" s="2737"/>
      <c r="J40" s="2737">
        <f>J44+J48+J52+J64+J76</f>
        <v>0</v>
      </c>
      <c r="K40" s="2737">
        <f>K44+K48+K52+K64+K76</f>
        <v>38690.799999999996</v>
      </c>
      <c r="L40" s="2736">
        <f t="shared" ref="L40:L41" si="17">M40+P40</f>
        <v>35000</v>
      </c>
      <c r="M40" s="2736">
        <f t="shared" ref="M40:M41" si="18">N40+O40</f>
        <v>35000</v>
      </c>
      <c r="N40" s="2737">
        <f t="shared" ref="N40:O40" si="19">N44+N48+N52+N64+N76</f>
        <v>0</v>
      </c>
      <c r="O40" s="2736">
        <f t="shared" si="19"/>
        <v>35000</v>
      </c>
      <c r="P40" s="2761">
        <f t="shared" ref="P40:P41" si="20">W40+X40</f>
        <v>0</v>
      </c>
      <c r="Q40" s="2737">
        <f>Q44+Q48+Q52+Q64+Q76</f>
        <v>0</v>
      </c>
      <c r="R40" s="2737">
        <f>R44+R48+R52+R64+R76</f>
        <v>0</v>
      </c>
      <c r="S40" s="2736">
        <f>SUM(Z40:AC40)</f>
        <v>13033.26</v>
      </c>
      <c r="T40" s="2736"/>
      <c r="U40" s="2736"/>
      <c r="V40" s="2736"/>
      <c r="W40" s="2736"/>
      <c r="X40" s="2736"/>
      <c r="Y40" s="2736"/>
      <c r="Z40" s="2737">
        <f t="shared" ref="Z40:AB41" si="21">Z44+Z48+Z52+Z64+Z76</f>
        <v>0</v>
      </c>
      <c r="AA40" s="2767">
        <f t="shared" si="21"/>
        <v>1650.2</v>
      </c>
      <c r="AB40" s="2737">
        <f t="shared" si="21"/>
        <v>0</v>
      </c>
      <c r="AC40" s="2736">
        <f t="shared" ref="AC40" si="22">AC44+AC48+AC52+AC64+AC76</f>
        <v>11383.06</v>
      </c>
      <c r="AD40" s="2736">
        <f t="shared" ref="AD40:AD41" si="23">AE40+AF40</f>
        <v>22118.260000000002</v>
      </c>
      <c r="AE40" s="2737">
        <f>AE44+AE48+AE52+AE64+AE76</f>
        <v>0</v>
      </c>
      <c r="AF40" s="2736">
        <f t="shared" ref="AF40" si="24">AF44+AF48+AF52+AF64+AF76</f>
        <v>22118.260000000002</v>
      </c>
      <c r="AG40" s="2737"/>
      <c r="AH40" s="2737"/>
      <c r="AI40" s="2737"/>
      <c r="AJ40" s="2737"/>
      <c r="AK40" s="2737"/>
      <c r="AL40" s="2737"/>
      <c r="AM40" s="2737"/>
      <c r="AN40" s="2737">
        <f t="shared" ref="AN40:AQ41" si="25">AN44+AN48+AN52+AN64+AN76</f>
        <v>0</v>
      </c>
      <c r="AO40" s="2737">
        <f t="shared" si="25"/>
        <v>0</v>
      </c>
      <c r="AP40" s="2737">
        <f t="shared" si="25"/>
        <v>0</v>
      </c>
      <c r="AQ40" s="2737">
        <f t="shared" si="25"/>
        <v>0</v>
      </c>
      <c r="AR40" s="2736">
        <f t="shared" ref="AR40" si="26">AR44+AR48+AR52+AR64+AR76</f>
        <v>38539.279999999999</v>
      </c>
      <c r="AS40" s="2682"/>
      <c r="AT40" s="2715"/>
      <c r="AU40" s="2715"/>
      <c r="AV40" s="2715"/>
      <c r="AW40" s="2715"/>
      <c r="AX40" s="2715"/>
      <c r="AY40" s="2715"/>
      <c r="AZ40" s="2715"/>
      <c r="BA40" s="2715"/>
      <c r="BB40" s="2715"/>
      <c r="BC40" s="2715"/>
      <c r="BD40" s="2715"/>
      <c r="BE40" s="2715"/>
      <c r="BF40" s="2715"/>
      <c r="BG40" s="2715"/>
      <c r="BH40" s="2715"/>
    </row>
    <row r="41" spans="1:60" s="2716" customFormat="1" ht="16.5" customHeight="1" x14ac:dyDescent="0.25">
      <c r="A41" s="2732" t="s">
        <v>23</v>
      </c>
      <c r="B41" s="2733" t="s">
        <v>502</v>
      </c>
      <c r="C41" s="2761">
        <f t="shared" si="16"/>
        <v>0</v>
      </c>
      <c r="D41" s="2737"/>
      <c r="E41" s="2737"/>
      <c r="F41" s="2737"/>
      <c r="G41" s="2737"/>
      <c r="H41" s="2737"/>
      <c r="I41" s="2737"/>
      <c r="J41" s="2737">
        <f>J45+J49+J53+J65+J77</f>
        <v>0</v>
      </c>
      <c r="K41" s="2737">
        <f>K45+K49+K53+K65+K77</f>
        <v>0</v>
      </c>
      <c r="L41" s="2736">
        <f t="shared" si="17"/>
        <v>0</v>
      </c>
      <c r="M41" s="2737">
        <f t="shared" si="18"/>
        <v>0</v>
      </c>
      <c r="N41" s="2737">
        <f t="shared" ref="N41:O41" si="27">N45+N49+N53+N65+N77</f>
        <v>0</v>
      </c>
      <c r="O41" s="2737">
        <f t="shared" si="27"/>
        <v>0</v>
      </c>
      <c r="P41" s="2761">
        <f t="shared" si="20"/>
        <v>0</v>
      </c>
      <c r="Q41" s="2737">
        <f>Q45+Q49+Q53+Q65+Q77</f>
        <v>0</v>
      </c>
      <c r="R41" s="2737">
        <f>R45+R49+R53+R65+R77</f>
        <v>0</v>
      </c>
      <c r="S41" s="2737">
        <f>SUM(Z41:AC41)</f>
        <v>0</v>
      </c>
      <c r="T41" s="2736"/>
      <c r="U41" s="2736"/>
      <c r="V41" s="2736"/>
      <c r="W41" s="2736"/>
      <c r="X41" s="2736"/>
      <c r="Y41" s="2736"/>
      <c r="Z41" s="2737">
        <f t="shared" si="21"/>
        <v>0</v>
      </c>
      <c r="AA41" s="2737">
        <f t="shared" si="21"/>
        <v>0</v>
      </c>
      <c r="AB41" s="2737">
        <f t="shared" si="21"/>
        <v>0</v>
      </c>
      <c r="AC41" s="2737">
        <f t="shared" ref="AC41" si="28">AC45+AC49+AC53+AC65+AC77</f>
        <v>0</v>
      </c>
      <c r="AD41" s="2737">
        <f t="shared" si="23"/>
        <v>0</v>
      </c>
      <c r="AE41" s="2737">
        <f>AE45+AE49+AE53+AE65+AE77</f>
        <v>0</v>
      </c>
      <c r="AF41" s="2737">
        <f t="shared" ref="AF41" si="29">AF45+AF49+AF53+AF65+AF77</f>
        <v>0</v>
      </c>
      <c r="AG41" s="2737"/>
      <c r="AH41" s="2737"/>
      <c r="AI41" s="2737"/>
      <c r="AJ41" s="2737"/>
      <c r="AK41" s="2737"/>
      <c r="AL41" s="2737"/>
      <c r="AM41" s="2737"/>
      <c r="AN41" s="2737">
        <f t="shared" si="25"/>
        <v>0</v>
      </c>
      <c r="AO41" s="2737">
        <f t="shared" si="25"/>
        <v>0</v>
      </c>
      <c r="AP41" s="2737">
        <f t="shared" si="25"/>
        <v>0</v>
      </c>
      <c r="AQ41" s="2737">
        <f t="shared" si="25"/>
        <v>0</v>
      </c>
      <c r="AR41" s="2736">
        <f t="shared" ref="AR41" si="30">AR45+AR49+AR53+AR65+AR77</f>
        <v>0</v>
      </c>
      <c r="AS41" s="2682"/>
      <c r="AT41" s="2715"/>
      <c r="AU41" s="2715"/>
      <c r="AV41" s="2715"/>
      <c r="AW41" s="2715"/>
      <c r="AX41" s="2715"/>
      <c r="AY41" s="2715"/>
      <c r="AZ41" s="2715"/>
      <c r="BA41" s="2715"/>
      <c r="BB41" s="2715"/>
      <c r="BC41" s="2715"/>
      <c r="BD41" s="2715"/>
      <c r="BE41" s="2715"/>
      <c r="BF41" s="2715"/>
      <c r="BG41" s="2715"/>
      <c r="BH41" s="2715"/>
    </row>
    <row r="42" spans="1:60" s="2718" customFormat="1" ht="28.5" x14ac:dyDescent="0.25">
      <c r="A42" s="2748">
        <v>1</v>
      </c>
      <c r="B42" s="2749" t="s">
        <v>1392</v>
      </c>
      <c r="C42" s="2751">
        <f>C43+C44</f>
        <v>730904.78799999994</v>
      </c>
      <c r="D42" s="2752"/>
      <c r="E42" s="2752"/>
      <c r="F42" s="2752"/>
      <c r="G42" s="2752"/>
      <c r="H42" s="2752"/>
      <c r="I42" s="2752"/>
      <c r="J42" s="2752"/>
      <c r="K42" s="2751">
        <f>K43+K44</f>
        <v>730904.78799999994</v>
      </c>
      <c r="L42" s="2750">
        <f>L43+L44</f>
        <v>0</v>
      </c>
      <c r="M42" s="2751">
        <f>M43+M44</f>
        <v>0</v>
      </c>
      <c r="N42" s="2752"/>
      <c r="O42" s="2751">
        <f>O43+O44</f>
        <v>0</v>
      </c>
      <c r="P42" s="2751">
        <f>P43+P44</f>
        <v>0</v>
      </c>
      <c r="Q42" s="2751">
        <f>Q43+Q44</f>
        <v>0</v>
      </c>
      <c r="R42" s="2751">
        <f>R43+R44</f>
        <v>0</v>
      </c>
      <c r="S42" s="2750">
        <f>S43+S44</f>
        <v>301980</v>
      </c>
      <c r="T42" s="2759"/>
      <c r="U42" s="2759"/>
      <c r="V42" s="2759"/>
      <c r="W42" s="2759"/>
      <c r="X42" s="2759"/>
      <c r="Y42" s="2759"/>
      <c r="Z42" s="2751">
        <f>Z43+Z44</f>
        <v>0</v>
      </c>
      <c r="AA42" s="2751">
        <f>AA43+AA44</f>
        <v>301980</v>
      </c>
      <c r="AB42" s="2751">
        <f>AB43+AB44</f>
        <v>0</v>
      </c>
      <c r="AC42" s="2751">
        <f>AC43+AC44</f>
        <v>0</v>
      </c>
      <c r="AD42" s="2751">
        <f>AD43+AD44</f>
        <v>0</v>
      </c>
      <c r="AE42" s="2752"/>
      <c r="AF42" s="2751">
        <f>AF43+AF44</f>
        <v>0</v>
      </c>
      <c r="AG42" s="2751">
        <f t="shared" ref="AG42:AM42" si="31">AG43+AG44</f>
        <v>0</v>
      </c>
      <c r="AH42" s="2751">
        <f t="shared" si="31"/>
        <v>0</v>
      </c>
      <c r="AI42" s="2751">
        <f t="shared" si="31"/>
        <v>0</v>
      </c>
      <c r="AJ42" s="2751">
        <f t="shared" si="31"/>
        <v>0</v>
      </c>
      <c r="AK42" s="2751">
        <f t="shared" si="31"/>
        <v>0</v>
      </c>
      <c r="AL42" s="2751">
        <f t="shared" si="31"/>
        <v>0</v>
      </c>
      <c r="AM42" s="2751">
        <f t="shared" si="31"/>
        <v>0</v>
      </c>
      <c r="AN42" s="2751">
        <f>AN43+AN44</f>
        <v>0</v>
      </c>
      <c r="AO42" s="2751">
        <f>AO43+AO44</f>
        <v>0</v>
      </c>
      <c r="AP42" s="2751">
        <f>AP43+AP44</f>
        <v>0</v>
      </c>
      <c r="AQ42" s="2751">
        <f>AQ43+AQ44</f>
        <v>0</v>
      </c>
      <c r="AR42" s="2750">
        <f t="shared" ref="AR42:AS42" si="32">AR43+AR44</f>
        <v>428924.78799999994</v>
      </c>
      <c r="AS42" s="2683">
        <f t="shared" si="32"/>
        <v>0</v>
      </c>
      <c r="AT42" s="2717"/>
      <c r="AU42" s="2717"/>
      <c r="AV42" s="2717"/>
      <c r="AW42" s="2717"/>
      <c r="AX42" s="2717"/>
      <c r="AY42" s="2717"/>
      <c r="AZ42" s="2717"/>
      <c r="BA42" s="2717"/>
      <c r="BB42" s="2717"/>
      <c r="BC42" s="2717"/>
      <c r="BD42" s="2717"/>
      <c r="BE42" s="2717"/>
      <c r="BF42" s="2717"/>
      <c r="BG42" s="2717"/>
      <c r="BH42" s="2717"/>
    </row>
    <row r="43" spans="1:60" s="2716" customFormat="1" ht="16.5" customHeight="1" x14ac:dyDescent="0.25">
      <c r="A43" s="2732" t="s">
        <v>23</v>
      </c>
      <c r="B43" s="2733" t="s">
        <v>1118</v>
      </c>
      <c r="C43" s="2761">
        <f>J43+K43</f>
        <v>693864.18799999997</v>
      </c>
      <c r="D43" s="2737"/>
      <c r="E43" s="2739"/>
      <c r="F43" s="2739"/>
      <c r="G43" s="2737"/>
      <c r="H43" s="2737"/>
      <c r="I43" s="2737"/>
      <c r="J43" s="2737"/>
      <c r="K43" s="2737">
        <v>693864.18799999997</v>
      </c>
      <c r="L43" s="2736">
        <f>M43+O43</f>
        <v>0</v>
      </c>
      <c r="M43" s="2737">
        <f>N43+O43</f>
        <v>0</v>
      </c>
      <c r="N43" s="2737"/>
      <c r="O43" s="2737"/>
      <c r="P43" s="2761">
        <f>W43+X43</f>
        <v>0</v>
      </c>
      <c r="Q43" s="2737"/>
      <c r="R43" s="2737"/>
      <c r="S43" s="2736">
        <f>SUM(Z43:AC43)</f>
        <v>301980</v>
      </c>
      <c r="T43" s="2736"/>
      <c r="U43" s="2736"/>
      <c r="V43" s="2736"/>
      <c r="W43" s="2736"/>
      <c r="X43" s="2736"/>
      <c r="Y43" s="2736"/>
      <c r="Z43" s="2747"/>
      <c r="AA43" s="2736">
        <f>266700+35280</f>
        <v>301980</v>
      </c>
      <c r="AB43" s="2737"/>
      <c r="AC43" s="2737"/>
      <c r="AD43" s="2761">
        <f>AE43+AF43</f>
        <v>0</v>
      </c>
      <c r="AE43" s="2737"/>
      <c r="AF43" s="2737"/>
      <c r="AG43" s="2737">
        <f>SUM(AN43:AQ43)</f>
        <v>0</v>
      </c>
      <c r="AH43" s="2737"/>
      <c r="AI43" s="2737"/>
      <c r="AJ43" s="2737"/>
      <c r="AK43" s="2737"/>
      <c r="AL43" s="2737"/>
      <c r="AM43" s="2737"/>
      <c r="AN43" s="2737"/>
      <c r="AO43" s="2737"/>
      <c r="AP43" s="2737"/>
      <c r="AQ43" s="2737"/>
      <c r="AR43" s="2736">
        <f>K43-S43</f>
        <v>391884.18799999997</v>
      </c>
      <c r="AS43" s="2682"/>
      <c r="AT43" s="2715"/>
      <c r="AU43" s="2715"/>
      <c r="AV43" s="2715"/>
      <c r="AW43" s="2715"/>
      <c r="AX43" s="2715"/>
      <c r="AY43" s="2715"/>
      <c r="AZ43" s="2715"/>
      <c r="BA43" s="2715"/>
      <c r="BB43" s="2715"/>
      <c r="BC43" s="2715"/>
      <c r="BD43" s="2715"/>
      <c r="BE43" s="2715"/>
      <c r="BF43" s="2715"/>
      <c r="BG43" s="2715"/>
      <c r="BH43" s="2715"/>
    </row>
    <row r="44" spans="1:60" s="2716" customFormat="1" ht="16.5" customHeight="1" x14ac:dyDescent="0.25">
      <c r="A44" s="2732" t="s">
        <v>23</v>
      </c>
      <c r="B44" s="2733" t="s">
        <v>1119</v>
      </c>
      <c r="C44" s="2761">
        <f>J44+K44</f>
        <v>37040.6</v>
      </c>
      <c r="D44" s="2737"/>
      <c r="E44" s="2739"/>
      <c r="F44" s="2739"/>
      <c r="G44" s="2737"/>
      <c r="H44" s="2737"/>
      <c r="I44" s="2737"/>
      <c r="J44" s="2737"/>
      <c r="K44" s="2737">
        <f>14000+23040.6</f>
        <v>37040.6</v>
      </c>
      <c r="L44" s="2736">
        <f>M44+O44</f>
        <v>0</v>
      </c>
      <c r="M44" s="2737">
        <f t="shared" ref="M44:M45" si="33">N44+O44</f>
        <v>0</v>
      </c>
      <c r="N44" s="2737"/>
      <c r="O44" s="2737"/>
      <c r="P44" s="2761">
        <f>W44+X44</f>
        <v>0</v>
      </c>
      <c r="Q44" s="2737"/>
      <c r="R44" s="2737"/>
      <c r="S44" s="2737">
        <f>SUM(Z44:AC44)</f>
        <v>0</v>
      </c>
      <c r="T44" s="2737"/>
      <c r="U44" s="2737"/>
      <c r="V44" s="2737"/>
      <c r="W44" s="2737"/>
      <c r="X44" s="2737"/>
      <c r="Y44" s="2737"/>
      <c r="Z44" s="2761"/>
      <c r="AA44" s="2737"/>
      <c r="AB44" s="2737"/>
      <c r="AC44" s="2737"/>
      <c r="AD44" s="2761">
        <f>AE44+AF44</f>
        <v>0</v>
      </c>
      <c r="AE44" s="2737"/>
      <c r="AF44" s="2737"/>
      <c r="AG44" s="2737">
        <f>SUM(AN44:AQ44)</f>
        <v>0</v>
      </c>
      <c r="AH44" s="2737"/>
      <c r="AI44" s="2737"/>
      <c r="AJ44" s="2737"/>
      <c r="AK44" s="2737"/>
      <c r="AL44" s="2737"/>
      <c r="AM44" s="2737"/>
      <c r="AN44" s="2737"/>
      <c r="AO44" s="2737"/>
      <c r="AP44" s="2737"/>
      <c r="AQ44" s="2737"/>
      <c r="AR44" s="2736">
        <f>K44-S44</f>
        <v>37040.6</v>
      </c>
      <c r="AS44" s="2682"/>
      <c r="AT44" s="2715"/>
      <c r="AU44" s="2715"/>
      <c r="AV44" s="2715"/>
      <c r="AW44" s="2715"/>
      <c r="AX44" s="2715"/>
      <c r="AY44" s="2715"/>
      <c r="AZ44" s="2715"/>
      <c r="BA44" s="2715"/>
      <c r="BB44" s="2715"/>
      <c r="BC44" s="2715"/>
      <c r="BD44" s="2715"/>
      <c r="BE44" s="2715"/>
      <c r="BF44" s="2715"/>
      <c r="BG44" s="2715"/>
      <c r="BH44" s="2715"/>
    </row>
    <row r="45" spans="1:60" s="2716" customFormat="1" ht="13.5" hidden="1" x14ac:dyDescent="0.25">
      <c r="A45" s="2732" t="s">
        <v>23</v>
      </c>
      <c r="B45" s="2733" t="s">
        <v>502</v>
      </c>
      <c r="C45" s="2761"/>
      <c r="D45" s="2737"/>
      <c r="E45" s="2737"/>
      <c r="F45" s="2737"/>
      <c r="G45" s="2737"/>
      <c r="H45" s="2737"/>
      <c r="I45" s="2737"/>
      <c r="J45" s="2737"/>
      <c r="K45" s="2737"/>
      <c r="L45" s="2736">
        <f>M45+O45</f>
        <v>0</v>
      </c>
      <c r="M45" s="2736">
        <f t="shared" si="33"/>
        <v>0</v>
      </c>
      <c r="N45" s="2737"/>
      <c r="O45" s="2736"/>
      <c r="P45" s="2737"/>
      <c r="Q45" s="2737"/>
      <c r="R45" s="2737"/>
      <c r="S45" s="2737"/>
      <c r="T45" s="2737"/>
      <c r="U45" s="2737"/>
      <c r="V45" s="2737"/>
      <c r="W45" s="2737"/>
      <c r="X45" s="2737"/>
      <c r="Y45" s="2737"/>
      <c r="Z45" s="2737"/>
      <c r="AA45" s="2737"/>
      <c r="AB45" s="2737"/>
      <c r="AC45" s="2737"/>
      <c r="AD45" s="2736"/>
      <c r="AE45" s="2737"/>
      <c r="AF45" s="2736"/>
      <c r="AG45" s="2737"/>
      <c r="AH45" s="2737"/>
      <c r="AI45" s="2737"/>
      <c r="AJ45" s="2737"/>
      <c r="AK45" s="2737"/>
      <c r="AL45" s="2737"/>
      <c r="AM45" s="2737"/>
      <c r="AN45" s="2737"/>
      <c r="AO45" s="2737"/>
      <c r="AP45" s="2736"/>
      <c r="AQ45" s="2736"/>
      <c r="AR45" s="2736"/>
      <c r="AS45" s="2682"/>
      <c r="AT45" s="2715"/>
      <c r="AU45" s="2715"/>
      <c r="AV45" s="2715"/>
      <c r="AW45" s="2715"/>
      <c r="AX45" s="2715"/>
      <c r="AY45" s="2715"/>
      <c r="AZ45" s="2715"/>
      <c r="BA45" s="2715"/>
      <c r="BB45" s="2715"/>
      <c r="BC45" s="2715"/>
      <c r="BD45" s="2715"/>
      <c r="BE45" s="2715"/>
      <c r="BF45" s="2715"/>
      <c r="BG45" s="2715"/>
      <c r="BH45" s="2715"/>
    </row>
    <row r="46" spans="1:60" s="2718" customFormat="1" ht="54.75" customHeight="1" x14ac:dyDescent="0.25">
      <c r="A46" s="2748">
        <v>2</v>
      </c>
      <c r="B46" s="2749" t="s">
        <v>2102</v>
      </c>
      <c r="C46" s="2751">
        <f>C47+C48</f>
        <v>0</v>
      </c>
      <c r="D46" s="2752"/>
      <c r="E46" s="2752"/>
      <c r="F46" s="2752"/>
      <c r="G46" s="2752"/>
      <c r="H46" s="2752"/>
      <c r="I46" s="2752"/>
      <c r="J46" s="2752"/>
      <c r="K46" s="2751">
        <f>K47+K48</f>
        <v>0</v>
      </c>
      <c r="L46" s="2750">
        <f>L47+L48</f>
        <v>81860</v>
      </c>
      <c r="M46" s="2750">
        <f>M47+M48</f>
        <v>81860</v>
      </c>
      <c r="N46" s="2752"/>
      <c r="O46" s="2750">
        <f>O47+O48</f>
        <v>81860</v>
      </c>
      <c r="P46" s="2751">
        <f>P47+P48</f>
        <v>0</v>
      </c>
      <c r="Q46" s="2752"/>
      <c r="R46" s="2751">
        <f>R47+R48</f>
        <v>0</v>
      </c>
      <c r="S46" s="2751">
        <f>S47+S48</f>
        <v>0</v>
      </c>
      <c r="T46" s="2751">
        <f t="shared" ref="T46:AR46" si="34">T47+T48</f>
        <v>0</v>
      </c>
      <c r="U46" s="2751">
        <f t="shared" si="34"/>
        <v>0</v>
      </c>
      <c r="V46" s="2751">
        <f t="shared" si="34"/>
        <v>0</v>
      </c>
      <c r="W46" s="2751">
        <f t="shared" si="34"/>
        <v>0</v>
      </c>
      <c r="X46" s="2751">
        <f t="shared" si="34"/>
        <v>0</v>
      </c>
      <c r="Y46" s="2751">
        <f t="shared" si="34"/>
        <v>0</v>
      </c>
      <c r="Z46" s="2751">
        <f t="shared" si="34"/>
        <v>0</v>
      </c>
      <c r="AA46" s="2751">
        <f t="shared" si="34"/>
        <v>0</v>
      </c>
      <c r="AB46" s="2751">
        <f t="shared" si="34"/>
        <v>0</v>
      </c>
      <c r="AC46" s="2751">
        <f t="shared" si="34"/>
        <v>0</v>
      </c>
      <c r="AD46" s="2750">
        <f t="shared" si="34"/>
        <v>81860</v>
      </c>
      <c r="AE46" s="2751">
        <f t="shared" si="34"/>
        <v>0</v>
      </c>
      <c r="AF46" s="2750">
        <f t="shared" si="34"/>
        <v>81860</v>
      </c>
      <c r="AG46" s="2751">
        <f t="shared" si="34"/>
        <v>0</v>
      </c>
      <c r="AH46" s="2751">
        <f t="shared" si="34"/>
        <v>0</v>
      </c>
      <c r="AI46" s="2751">
        <f t="shared" si="34"/>
        <v>0</v>
      </c>
      <c r="AJ46" s="2751">
        <f t="shared" si="34"/>
        <v>0</v>
      </c>
      <c r="AK46" s="2751">
        <f t="shared" si="34"/>
        <v>0</v>
      </c>
      <c r="AL46" s="2751">
        <f t="shared" si="34"/>
        <v>0</v>
      </c>
      <c r="AM46" s="2751">
        <f t="shared" si="34"/>
        <v>0</v>
      </c>
      <c r="AN46" s="2751">
        <f t="shared" si="34"/>
        <v>0</v>
      </c>
      <c r="AO46" s="2751">
        <f t="shared" si="34"/>
        <v>0</v>
      </c>
      <c r="AP46" s="2751">
        <f t="shared" si="34"/>
        <v>0</v>
      </c>
      <c r="AQ46" s="2751">
        <f t="shared" si="34"/>
        <v>0</v>
      </c>
      <c r="AR46" s="2751">
        <f t="shared" si="34"/>
        <v>0</v>
      </c>
      <c r="AS46" s="2686"/>
      <c r="AT46" s="2717"/>
      <c r="AU46" s="2717"/>
      <c r="AV46" s="2717"/>
      <c r="AW46" s="2717"/>
      <c r="AX46" s="2717"/>
      <c r="AY46" s="2717"/>
      <c r="AZ46" s="2717"/>
      <c r="BA46" s="2717"/>
      <c r="BB46" s="2717"/>
      <c r="BC46" s="2717"/>
      <c r="BD46" s="2717"/>
      <c r="BE46" s="2717"/>
      <c r="BF46" s="2717"/>
      <c r="BG46" s="2717"/>
      <c r="BH46" s="2717"/>
    </row>
    <row r="47" spans="1:60" s="2716" customFormat="1" ht="16.5" customHeight="1" x14ac:dyDescent="0.25">
      <c r="A47" s="2732" t="s">
        <v>23</v>
      </c>
      <c r="B47" s="2733" t="s">
        <v>1118</v>
      </c>
      <c r="C47" s="2761">
        <f>J47+K47</f>
        <v>0</v>
      </c>
      <c r="D47" s="2737"/>
      <c r="E47" s="2739"/>
      <c r="F47" s="2739"/>
      <c r="G47" s="2737"/>
      <c r="H47" s="2737"/>
      <c r="I47" s="2737"/>
      <c r="J47" s="2737"/>
      <c r="K47" s="2737"/>
      <c r="L47" s="2736">
        <f>M47+P47</f>
        <v>78860</v>
      </c>
      <c r="M47" s="2736">
        <f>N47+O47</f>
        <v>78860</v>
      </c>
      <c r="N47" s="2737"/>
      <c r="O47" s="2736">
        <v>78860</v>
      </c>
      <c r="P47" s="2761">
        <f>W47+X47</f>
        <v>0</v>
      </c>
      <c r="Q47" s="2737"/>
      <c r="R47" s="2737"/>
      <c r="S47" s="2737">
        <f>SUM(Z47:AC47)</f>
        <v>0</v>
      </c>
      <c r="T47" s="2737"/>
      <c r="U47" s="2737"/>
      <c r="V47" s="2737"/>
      <c r="W47" s="2737"/>
      <c r="X47" s="2737"/>
      <c r="Y47" s="2737"/>
      <c r="Z47" s="2737"/>
      <c r="AA47" s="2737"/>
      <c r="AB47" s="2737"/>
      <c r="AC47" s="2737">
        <v>0</v>
      </c>
      <c r="AD47" s="2747">
        <f>AE47+AF47</f>
        <v>78860</v>
      </c>
      <c r="AE47" s="2737"/>
      <c r="AF47" s="2736">
        <f>L47-S47</f>
        <v>78860</v>
      </c>
      <c r="AG47" s="2737"/>
      <c r="AH47" s="2737"/>
      <c r="AI47" s="2737"/>
      <c r="AJ47" s="2737"/>
      <c r="AK47" s="2737"/>
      <c r="AL47" s="2737"/>
      <c r="AM47" s="2737"/>
      <c r="AN47" s="2737"/>
      <c r="AO47" s="2737"/>
      <c r="AP47" s="2737"/>
      <c r="AQ47" s="2737"/>
      <c r="AR47" s="2736"/>
      <c r="AS47" s="2682"/>
      <c r="AT47" s="2715"/>
      <c r="AU47" s="2715"/>
      <c r="AV47" s="2715"/>
      <c r="AW47" s="2715"/>
      <c r="AX47" s="2715"/>
      <c r="AY47" s="2715"/>
      <c r="AZ47" s="2715"/>
      <c r="BA47" s="2715"/>
      <c r="BB47" s="2715"/>
      <c r="BC47" s="2715"/>
      <c r="BD47" s="2715"/>
      <c r="BE47" s="2715"/>
      <c r="BF47" s="2715"/>
      <c r="BG47" s="2715"/>
      <c r="BH47" s="2715"/>
    </row>
    <row r="48" spans="1:60" s="2716" customFormat="1" ht="16.5" customHeight="1" x14ac:dyDescent="0.25">
      <c r="A48" s="2732" t="s">
        <v>23</v>
      </c>
      <c r="B48" s="2733" t="s">
        <v>1119</v>
      </c>
      <c r="C48" s="2761">
        <f>J48+K48</f>
        <v>0</v>
      </c>
      <c r="D48" s="2737"/>
      <c r="E48" s="2739"/>
      <c r="F48" s="2739"/>
      <c r="G48" s="2737"/>
      <c r="H48" s="2737"/>
      <c r="I48" s="2737"/>
      <c r="J48" s="2737"/>
      <c r="K48" s="2737"/>
      <c r="L48" s="2736">
        <f t="shared" ref="L48:L49" si="35">M48+P48</f>
        <v>3000</v>
      </c>
      <c r="M48" s="2736">
        <f t="shared" ref="M48:M49" si="36">N48+O48</f>
        <v>3000</v>
      </c>
      <c r="N48" s="2737"/>
      <c r="O48" s="2736">
        <v>3000</v>
      </c>
      <c r="P48" s="2761">
        <f>W48+X48</f>
        <v>0</v>
      </c>
      <c r="Q48" s="2737"/>
      <c r="R48" s="2737"/>
      <c r="S48" s="2737">
        <f>SUM(Z48:AC48)</f>
        <v>0</v>
      </c>
      <c r="T48" s="2737"/>
      <c r="U48" s="2737"/>
      <c r="V48" s="2737"/>
      <c r="W48" s="2737"/>
      <c r="X48" s="2737"/>
      <c r="Y48" s="2737"/>
      <c r="Z48" s="2737"/>
      <c r="AA48" s="2737"/>
      <c r="AB48" s="2737"/>
      <c r="AC48" s="2737">
        <v>0</v>
      </c>
      <c r="AD48" s="2747">
        <f>AE48+AF48</f>
        <v>3000</v>
      </c>
      <c r="AE48" s="2737"/>
      <c r="AF48" s="2736">
        <f>L48-S48</f>
        <v>3000</v>
      </c>
      <c r="AG48" s="2737"/>
      <c r="AH48" s="2737"/>
      <c r="AI48" s="2737"/>
      <c r="AJ48" s="2737"/>
      <c r="AK48" s="2737"/>
      <c r="AL48" s="2737"/>
      <c r="AM48" s="2737"/>
      <c r="AN48" s="2737"/>
      <c r="AO48" s="2737"/>
      <c r="AP48" s="2737"/>
      <c r="AQ48" s="2737"/>
      <c r="AR48" s="2736"/>
      <c r="AS48" s="2682"/>
      <c r="AT48" s="2715"/>
      <c r="AU48" s="2715"/>
      <c r="AV48" s="2715"/>
      <c r="AW48" s="2715"/>
      <c r="AX48" s="2715"/>
      <c r="AY48" s="2715"/>
      <c r="AZ48" s="2715"/>
      <c r="BA48" s="2715"/>
      <c r="BB48" s="2715"/>
      <c r="BC48" s="2715"/>
      <c r="BD48" s="2715"/>
      <c r="BE48" s="2715"/>
      <c r="BF48" s="2715"/>
      <c r="BG48" s="2715"/>
      <c r="BH48" s="2715"/>
    </row>
    <row r="49" spans="1:60" s="2716" customFormat="1" ht="13.5" hidden="1" x14ac:dyDescent="0.25">
      <c r="A49" s="2732" t="s">
        <v>23</v>
      </c>
      <c r="B49" s="2733" t="s">
        <v>502</v>
      </c>
      <c r="C49" s="2761"/>
      <c r="D49" s="2737"/>
      <c r="E49" s="2737"/>
      <c r="F49" s="2737"/>
      <c r="G49" s="2737"/>
      <c r="H49" s="2737"/>
      <c r="I49" s="2737"/>
      <c r="J49" s="2737"/>
      <c r="K49" s="2737"/>
      <c r="L49" s="2736">
        <f t="shared" si="35"/>
        <v>0</v>
      </c>
      <c r="M49" s="2736">
        <f t="shared" si="36"/>
        <v>0</v>
      </c>
      <c r="N49" s="2737"/>
      <c r="O49" s="2736"/>
      <c r="P49" s="2737"/>
      <c r="Q49" s="2737"/>
      <c r="R49" s="2737"/>
      <c r="S49" s="2736"/>
      <c r="T49" s="2736"/>
      <c r="U49" s="2736"/>
      <c r="V49" s="2736"/>
      <c r="W49" s="2736"/>
      <c r="X49" s="2736"/>
      <c r="Y49" s="2736"/>
      <c r="Z49" s="2737"/>
      <c r="AA49" s="2737"/>
      <c r="AB49" s="2737"/>
      <c r="AC49" s="2736"/>
      <c r="AD49" s="2736"/>
      <c r="AE49" s="2737"/>
      <c r="AF49" s="2736"/>
      <c r="AG49" s="2737"/>
      <c r="AH49" s="2737"/>
      <c r="AI49" s="2737"/>
      <c r="AJ49" s="2737"/>
      <c r="AK49" s="2737"/>
      <c r="AL49" s="2737"/>
      <c r="AM49" s="2737"/>
      <c r="AN49" s="2737"/>
      <c r="AO49" s="2737"/>
      <c r="AP49" s="2737"/>
      <c r="AQ49" s="2737"/>
      <c r="AR49" s="2736"/>
      <c r="AS49" s="2682"/>
      <c r="AT49" s="2715"/>
      <c r="AU49" s="2715"/>
      <c r="AV49" s="2715"/>
      <c r="AW49" s="2715"/>
      <c r="AX49" s="2715"/>
      <c r="AY49" s="2715"/>
      <c r="AZ49" s="2715"/>
      <c r="BA49" s="2715"/>
      <c r="BB49" s="2715"/>
      <c r="BC49" s="2715"/>
      <c r="BD49" s="2715"/>
      <c r="BE49" s="2715"/>
      <c r="BF49" s="2715"/>
      <c r="BG49" s="2715"/>
      <c r="BH49" s="2715"/>
    </row>
    <row r="50" spans="1:60" s="2720" customFormat="1" ht="34.5" customHeight="1" x14ac:dyDescent="0.25">
      <c r="A50" s="2748">
        <v>3</v>
      </c>
      <c r="B50" s="2749" t="s">
        <v>1394</v>
      </c>
      <c r="C50" s="2751">
        <f>SUM(C51:C53)</f>
        <v>0</v>
      </c>
      <c r="D50" s="2751">
        <f t="shared" ref="D50" si="37">SUM(D51:D53)</f>
        <v>0</v>
      </c>
      <c r="E50" s="2751">
        <f t="shared" ref="E50" si="38">SUM(E51:E53)</f>
        <v>0</v>
      </c>
      <c r="F50" s="2751">
        <f t="shared" ref="F50" si="39">SUM(F51:F53)</f>
        <v>0</v>
      </c>
      <c r="G50" s="2751">
        <f t="shared" ref="G50" si="40">SUM(G51:G53)</f>
        <v>0</v>
      </c>
      <c r="H50" s="2751">
        <f t="shared" ref="H50" si="41">SUM(H51:H53)</f>
        <v>0</v>
      </c>
      <c r="I50" s="2751">
        <f t="shared" ref="I50" si="42">SUM(I51:I53)</f>
        <v>0</v>
      </c>
      <c r="J50" s="2751">
        <f t="shared" ref="J50" si="43">SUM(J51:J53)</f>
        <v>0</v>
      </c>
      <c r="K50" s="2751">
        <f>SUM(K51:K53)</f>
        <v>0</v>
      </c>
      <c r="L50" s="2750">
        <f>SUM(L51:L53)</f>
        <v>908000</v>
      </c>
      <c r="M50" s="2750">
        <f>SUM(M51:M53)</f>
        <v>908000</v>
      </c>
      <c r="N50" s="2751">
        <f t="shared" ref="N50" si="44">SUM(N51:N53)</f>
        <v>0</v>
      </c>
      <c r="O50" s="2750">
        <f t="shared" ref="O50" si="45">SUM(O51:O53)</f>
        <v>908000</v>
      </c>
      <c r="P50" s="2751">
        <f>SUM(P51:P53)</f>
        <v>0</v>
      </c>
      <c r="Q50" s="2751">
        <f t="shared" ref="Q50" si="46">SUM(Q51:Q53)</f>
        <v>0</v>
      </c>
      <c r="R50" s="2751">
        <f t="shared" ref="R50" si="47">SUM(R51:R53)</f>
        <v>0</v>
      </c>
      <c r="S50" s="2750">
        <f t="shared" ref="S50" si="48">SUM(S51:S53)</f>
        <v>145809.5</v>
      </c>
      <c r="T50" s="2750">
        <f t="shared" ref="T50" si="49">SUM(T51:T53)</f>
        <v>0</v>
      </c>
      <c r="U50" s="2750">
        <f t="shared" ref="U50" si="50">SUM(U51:U53)</f>
        <v>0</v>
      </c>
      <c r="V50" s="2750">
        <f t="shared" ref="V50" si="51">SUM(V51:V53)</f>
        <v>0</v>
      </c>
      <c r="W50" s="2750">
        <f t="shared" ref="W50" si="52">SUM(W51:W53)</f>
        <v>0</v>
      </c>
      <c r="X50" s="2750">
        <f t="shared" ref="X50" si="53">SUM(X51:X53)</f>
        <v>0</v>
      </c>
      <c r="Y50" s="2750">
        <f t="shared" ref="Y50" si="54">SUM(Y51:Y53)</f>
        <v>0</v>
      </c>
      <c r="Z50" s="2751">
        <f t="shared" ref="Z50" si="55">SUM(Z51:Z53)</f>
        <v>0</v>
      </c>
      <c r="AA50" s="2751">
        <f t="shared" ref="AA50" si="56">SUM(AA51:AA53)</f>
        <v>0</v>
      </c>
      <c r="AB50" s="2751">
        <f t="shared" ref="AB50" si="57">SUM(AB51:AB53)</f>
        <v>0</v>
      </c>
      <c r="AC50" s="2750">
        <f t="shared" ref="AC50" si="58">SUM(AC51:AC53)</f>
        <v>145809.5</v>
      </c>
      <c r="AD50" s="2750">
        <f t="shared" ref="AD50" si="59">AD51+AD52</f>
        <v>751332</v>
      </c>
      <c r="AE50" s="2751">
        <f t="shared" ref="AE50" si="60">SUM(AE51:AE53)</f>
        <v>0</v>
      </c>
      <c r="AF50" s="2750">
        <f t="shared" ref="AF50" si="61">SUM(AF51:AF53)</f>
        <v>751332</v>
      </c>
      <c r="AG50" s="2751">
        <f t="shared" ref="AG50" si="62">SUM(AG51:AG53)</f>
        <v>0</v>
      </c>
      <c r="AH50" s="2751">
        <f t="shared" ref="AH50" si="63">SUM(AH51:AH53)</f>
        <v>0</v>
      </c>
      <c r="AI50" s="2751">
        <f t="shared" ref="AI50" si="64">SUM(AI51:AI53)</f>
        <v>0</v>
      </c>
      <c r="AJ50" s="2751">
        <f t="shared" ref="AJ50" si="65">SUM(AJ51:AJ53)</f>
        <v>0</v>
      </c>
      <c r="AK50" s="2751">
        <f t="shared" ref="AK50" si="66">SUM(AK51:AK53)</f>
        <v>0</v>
      </c>
      <c r="AL50" s="2751">
        <f t="shared" ref="AL50" si="67">SUM(AL51:AL53)</f>
        <v>0</v>
      </c>
      <c r="AM50" s="2751">
        <f t="shared" ref="AM50" si="68">SUM(AM51:AM53)</f>
        <v>0</v>
      </c>
      <c r="AN50" s="2751">
        <f t="shared" ref="AN50" si="69">SUM(AN51:AN53)</f>
        <v>0</v>
      </c>
      <c r="AO50" s="2751">
        <f t="shared" ref="AO50" si="70">SUM(AO51:AO53)</f>
        <v>0</v>
      </c>
      <c r="AP50" s="2751">
        <f t="shared" ref="AP50" si="71">SUM(AP51:AP53)</f>
        <v>0</v>
      </c>
      <c r="AQ50" s="2751">
        <f t="shared" ref="AQ50" si="72">SUM(AQ51:AQ53)</f>
        <v>0</v>
      </c>
      <c r="AR50" s="2750">
        <f t="shared" ref="AR50" si="73">SUM(AR51:AR53)</f>
        <v>10858.5</v>
      </c>
      <c r="AS50" s="2686"/>
      <c r="AT50" s="2719"/>
      <c r="AU50" s="2719"/>
      <c r="AV50" s="2719"/>
      <c r="AW50" s="2719"/>
      <c r="AX50" s="2719"/>
      <c r="AY50" s="2719"/>
      <c r="AZ50" s="2719"/>
      <c r="BA50" s="2719"/>
      <c r="BB50" s="2719"/>
      <c r="BC50" s="2719"/>
      <c r="BD50" s="2719"/>
      <c r="BE50" s="2719"/>
      <c r="BF50" s="2719"/>
      <c r="BG50" s="2719"/>
      <c r="BH50" s="2719"/>
    </row>
    <row r="51" spans="1:60" s="2692" customFormat="1" ht="16.5" customHeight="1" x14ac:dyDescent="0.25">
      <c r="A51" s="2732" t="s">
        <v>23</v>
      </c>
      <c r="B51" s="2733" t="s">
        <v>1118</v>
      </c>
      <c r="C51" s="2761">
        <f>J51+K51</f>
        <v>0</v>
      </c>
      <c r="D51" s="2737"/>
      <c r="E51" s="2737"/>
      <c r="F51" s="2737"/>
      <c r="G51" s="2737"/>
      <c r="H51" s="2737"/>
      <c r="I51" s="2737"/>
      <c r="J51" s="2737">
        <f t="shared" ref="J51:K53" si="74">J55+J59</f>
        <v>0</v>
      </c>
      <c r="K51" s="2737">
        <f t="shared" si="74"/>
        <v>0</v>
      </c>
      <c r="L51" s="2736">
        <f>M51+P51</f>
        <v>886000</v>
      </c>
      <c r="M51" s="2736">
        <f>N51+O51</f>
        <v>886000</v>
      </c>
      <c r="N51" s="2737">
        <f t="shared" ref="N51:O53" si="75">N55+N59</f>
        <v>0</v>
      </c>
      <c r="O51" s="2736">
        <f t="shared" si="75"/>
        <v>886000</v>
      </c>
      <c r="P51" s="2761">
        <f>W51+X51</f>
        <v>0</v>
      </c>
      <c r="Q51" s="2737">
        <f t="shared" ref="Q51:S53" si="76">Q55+Q59</f>
        <v>0</v>
      </c>
      <c r="R51" s="2737">
        <f t="shared" si="76"/>
        <v>0</v>
      </c>
      <c r="S51" s="2736">
        <f t="shared" si="76"/>
        <v>141427.76</v>
      </c>
      <c r="T51" s="2736"/>
      <c r="U51" s="2736"/>
      <c r="V51" s="2736"/>
      <c r="W51" s="2736"/>
      <c r="X51" s="2736"/>
      <c r="Y51" s="2736"/>
      <c r="Z51" s="2737">
        <f t="shared" ref="Z51:AC53" si="77">Z55+Z59</f>
        <v>0</v>
      </c>
      <c r="AA51" s="2737">
        <f t="shared" si="77"/>
        <v>0</v>
      </c>
      <c r="AB51" s="2737">
        <f t="shared" si="77"/>
        <v>0</v>
      </c>
      <c r="AC51" s="2736">
        <f t="shared" si="77"/>
        <v>141427.76</v>
      </c>
      <c r="AD51" s="2747">
        <f>AE51+AF51</f>
        <v>734213.74</v>
      </c>
      <c r="AE51" s="2737">
        <f t="shared" ref="AE51:AF53" si="78">AE55+AE59</f>
        <v>0</v>
      </c>
      <c r="AF51" s="2736">
        <f t="shared" si="78"/>
        <v>734213.74</v>
      </c>
      <c r="AG51" s="2737"/>
      <c r="AH51" s="2737"/>
      <c r="AI51" s="2737"/>
      <c r="AJ51" s="2737"/>
      <c r="AK51" s="2737"/>
      <c r="AL51" s="2737"/>
      <c r="AM51" s="2737"/>
      <c r="AN51" s="2737">
        <f t="shared" ref="AN51:AQ53" si="79">AN55+AN59</f>
        <v>0</v>
      </c>
      <c r="AO51" s="2737">
        <f t="shared" si="79"/>
        <v>0</v>
      </c>
      <c r="AP51" s="2737">
        <f t="shared" si="79"/>
        <v>0</v>
      </c>
      <c r="AQ51" s="2737">
        <f t="shared" si="79"/>
        <v>0</v>
      </c>
      <c r="AR51" s="2736">
        <f t="shared" ref="AR51" si="80">AR55+AR59</f>
        <v>10358.5</v>
      </c>
      <c r="AS51" s="2682"/>
      <c r="AT51" s="2691"/>
      <c r="AU51" s="2691"/>
      <c r="AV51" s="2691"/>
      <c r="AW51" s="2691"/>
      <c r="AX51" s="2691"/>
      <c r="AY51" s="2691"/>
      <c r="AZ51" s="2691"/>
      <c r="BA51" s="2691"/>
      <c r="BB51" s="2691"/>
      <c r="BC51" s="2691"/>
      <c r="BD51" s="2691"/>
      <c r="BE51" s="2691"/>
      <c r="BF51" s="2691"/>
      <c r="BG51" s="2691"/>
      <c r="BH51" s="2691"/>
    </row>
    <row r="52" spans="1:60" s="2692" customFormat="1" ht="16.5" customHeight="1" x14ac:dyDescent="0.25">
      <c r="A52" s="2732" t="s">
        <v>23</v>
      </c>
      <c r="B52" s="2733" t="s">
        <v>1119</v>
      </c>
      <c r="C52" s="2761">
        <f t="shared" ref="C52" si="81">J52+K52</f>
        <v>0</v>
      </c>
      <c r="D52" s="2737"/>
      <c r="E52" s="2737"/>
      <c r="F52" s="2737"/>
      <c r="G52" s="2737"/>
      <c r="H52" s="2737"/>
      <c r="I52" s="2737"/>
      <c r="J52" s="2737">
        <f t="shared" si="74"/>
        <v>0</v>
      </c>
      <c r="K52" s="2737">
        <f t="shared" si="74"/>
        <v>0</v>
      </c>
      <c r="L52" s="2736">
        <f t="shared" ref="L52:L53" si="82">M52+P52</f>
        <v>22000</v>
      </c>
      <c r="M52" s="2736">
        <f t="shared" ref="M52:M53" si="83">N52+O52</f>
        <v>22000</v>
      </c>
      <c r="N52" s="2737">
        <f t="shared" si="75"/>
        <v>0</v>
      </c>
      <c r="O52" s="2736">
        <f t="shared" si="75"/>
        <v>22000</v>
      </c>
      <c r="P52" s="2761">
        <f t="shared" ref="P52:P53" si="84">W52+X52</f>
        <v>0</v>
      </c>
      <c r="Q52" s="2737">
        <f t="shared" si="76"/>
        <v>0</v>
      </c>
      <c r="R52" s="2737">
        <f t="shared" si="76"/>
        <v>0</v>
      </c>
      <c r="S52" s="2736">
        <f t="shared" si="76"/>
        <v>4381.74</v>
      </c>
      <c r="T52" s="2736"/>
      <c r="U52" s="2736"/>
      <c r="V52" s="2736"/>
      <c r="W52" s="2736"/>
      <c r="X52" s="2736"/>
      <c r="Y52" s="2736"/>
      <c r="Z52" s="2737">
        <f t="shared" si="77"/>
        <v>0</v>
      </c>
      <c r="AA52" s="2737">
        <f t="shared" si="77"/>
        <v>0</v>
      </c>
      <c r="AB52" s="2737">
        <f t="shared" si="77"/>
        <v>0</v>
      </c>
      <c r="AC52" s="2736">
        <f t="shared" si="77"/>
        <v>4381.74</v>
      </c>
      <c r="AD52" s="2747">
        <f>AE52+AF52</f>
        <v>17118.260000000002</v>
      </c>
      <c r="AE52" s="2737">
        <f t="shared" si="78"/>
        <v>0</v>
      </c>
      <c r="AF52" s="2736">
        <f t="shared" si="78"/>
        <v>17118.260000000002</v>
      </c>
      <c r="AG52" s="2737"/>
      <c r="AH52" s="2737"/>
      <c r="AI52" s="2737"/>
      <c r="AJ52" s="2737"/>
      <c r="AK52" s="2737"/>
      <c r="AL52" s="2737"/>
      <c r="AM52" s="2737"/>
      <c r="AN52" s="2737">
        <f t="shared" si="79"/>
        <v>0</v>
      </c>
      <c r="AO52" s="2737">
        <f t="shared" si="79"/>
        <v>0</v>
      </c>
      <c r="AP52" s="2737">
        <f t="shared" si="79"/>
        <v>0</v>
      </c>
      <c r="AQ52" s="2737">
        <f t="shared" si="79"/>
        <v>0</v>
      </c>
      <c r="AR52" s="2736">
        <f t="shared" ref="AR52" si="85">AR56+AR60</f>
        <v>500</v>
      </c>
      <c r="AS52" s="2682"/>
      <c r="AT52" s="2691"/>
      <c r="AU52" s="2691"/>
      <c r="AV52" s="2691"/>
      <c r="AW52" s="2691"/>
      <c r="AX52" s="2691"/>
      <c r="AY52" s="2691"/>
      <c r="AZ52" s="2691"/>
      <c r="BA52" s="2691"/>
      <c r="BB52" s="2691"/>
      <c r="BC52" s="2691"/>
      <c r="BD52" s="2691"/>
      <c r="BE52" s="2691"/>
      <c r="BF52" s="2691"/>
      <c r="BG52" s="2691"/>
      <c r="BH52" s="2691"/>
    </row>
    <row r="53" spans="1:60" s="2692" customFormat="1" ht="16.5" hidden="1" customHeight="1" x14ac:dyDescent="0.25">
      <c r="A53" s="2732" t="s">
        <v>23</v>
      </c>
      <c r="B53" s="2733" t="s">
        <v>502</v>
      </c>
      <c r="C53" s="2761">
        <f>J53+K53</f>
        <v>0</v>
      </c>
      <c r="D53" s="2737"/>
      <c r="E53" s="2737"/>
      <c r="F53" s="2737"/>
      <c r="G53" s="2737"/>
      <c r="H53" s="2737"/>
      <c r="I53" s="2737"/>
      <c r="J53" s="2737">
        <f t="shared" si="74"/>
        <v>0</v>
      </c>
      <c r="K53" s="2737">
        <f t="shared" si="74"/>
        <v>0</v>
      </c>
      <c r="L53" s="2736">
        <f t="shared" si="82"/>
        <v>0</v>
      </c>
      <c r="M53" s="2736">
        <f t="shared" si="83"/>
        <v>0</v>
      </c>
      <c r="N53" s="2737">
        <f t="shared" si="75"/>
        <v>0</v>
      </c>
      <c r="O53" s="2736">
        <f t="shared" si="75"/>
        <v>0</v>
      </c>
      <c r="P53" s="2761">
        <f t="shared" si="84"/>
        <v>0</v>
      </c>
      <c r="Q53" s="2737">
        <f t="shared" si="76"/>
        <v>0</v>
      </c>
      <c r="R53" s="2737">
        <f t="shared" si="76"/>
        <v>0</v>
      </c>
      <c r="S53" s="2736">
        <f t="shared" si="76"/>
        <v>0</v>
      </c>
      <c r="T53" s="2736"/>
      <c r="U53" s="2736"/>
      <c r="V53" s="2736"/>
      <c r="W53" s="2736"/>
      <c r="X53" s="2736"/>
      <c r="Y53" s="2736"/>
      <c r="Z53" s="2737">
        <f t="shared" si="77"/>
        <v>0</v>
      </c>
      <c r="AA53" s="2737">
        <f t="shared" si="77"/>
        <v>0</v>
      </c>
      <c r="AB53" s="2737">
        <f t="shared" si="77"/>
        <v>0</v>
      </c>
      <c r="AC53" s="2736">
        <f t="shared" si="77"/>
        <v>0</v>
      </c>
      <c r="AD53" s="2736"/>
      <c r="AE53" s="2736">
        <f t="shared" si="78"/>
        <v>0</v>
      </c>
      <c r="AF53" s="2736">
        <f t="shared" si="78"/>
        <v>0</v>
      </c>
      <c r="AG53" s="2737"/>
      <c r="AH53" s="2737"/>
      <c r="AI53" s="2737"/>
      <c r="AJ53" s="2737"/>
      <c r="AK53" s="2737"/>
      <c r="AL53" s="2737"/>
      <c r="AM53" s="2737"/>
      <c r="AN53" s="2737">
        <f t="shared" si="79"/>
        <v>0</v>
      </c>
      <c r="AO53" s="2737">
        <f t="shared" si="79"/>
        <v>0</v>
      </c>
      <c r="AP53" s="2736">
        <f t="shared" si="79"/>
        <v>0</v>
      </c>
      <c r="AQ53" s="2736">
        <f t="shared" si="79"/>
        <v>0</v>
      </c>
      <c r="AR53" s="2736">
        <f t="shared" ref="AR53" si="86">AR57+AR61</f>
        <v>0</v>
      </c>
      <c r="AS53" s="2682"/>
      <c r="AT53" s="2691"/>
      <c r="AU53" s="2691"/>
      <c r="AV53" s="2691"/>
      <c r="AW53" s="2691"/>
      <c r="AX53" s="2691"/>
      <c r="AY53" s="2691"/>
      <c r="AZ53" s="2691"/>
      <c r="BA53" s="2691"/>
      <c r="BB53" s="2691"/>
      <c r="BC53" s="2691"/>
      <c r="BD53" s="2691"/>
      <c r="BE53" s="2691"/>
      <c r="BF53" s="2691"/>
      <c r="BG53" s="2691"/>
      <c r="BH53" s="2691"/>
    </row>
    <row r="54" spans="1:60" s="2720" customFormat="1" ht="47.25" customHeight="1" x14ac:dyDescent="0.25">
      <c r="A54" s="2753" t="s">
        <v>573</v>
      </c>
      <c r="B54" s="2754" t="s">
        <v>2100</v>
      </c>
      <c r="C54" s="2765">
        <f>SUM(C55:C57)</f>
        <v>0</v>
      </c>
      <c r="D54" s="2756"/>
      <c r="E54" s="2756"/>
      <c r="F54" s="2756"/>
      <c r="G54" s="2756"/>
      <c r="H54" s="2756"/>
      <c r="I54" s="2756"/>
      <c r="J54" s="2756"/>
      <c r="K54" s="2756"/>
      <c r="L54" s="2755">
        <f>SUM(L55:L57)</f>
        <v>503000</v>
      </c>
      <c r="M54" s="2755">
        <f>SUM(M55:M57)</f>
        <v>503000</v>
      </c>
      <c r="N54" s="2756"/>
      <c r="O54" s="2755">
        <f>O55+O56</f>
        <v>503000</v>
      </c>
      <c r="P54" s="2765">
        <f>SUM(P55:P57)</f>
        <v>0</v>
      </c>
      <c r="Q54" s="2756"/>
      <c r="R54" s="2756"/>
      <c r="S54" s="2765">
        <f>S55+S56</f>
        <v>0</v>
      </c>
      <c r="T54" s="2756"/>
      <c r="U54" s="2756"/>
      <c r="V54" s="2756"/>
      <c r="W54" s="2756"/>
      <c r="X54" s="2756"/>
      <c r="Y54" s="2756"/>
      <c r="Z54" s="2756"/>
      <c r="AA54" s="2765">
        <f>AA55+AA56</f>
        <v>0</v>
      </c>
      <c r="AB54" s="2756"/>
      <c r="AC54" s="2765">
        <f>AC55+AC56</f>
        <v>0</v>
      </c>
      <c r="AD54" s="2765">
        <f t="shared" ref="AD54" si="87">AD55+AD56</f>
        <v>492390</v>
      </c>
      <c r="AE54" s="2756"/>
      <c r="AF54" s="2765">
        <f>AF55+AF56</f>
        <v>492390</v>
      </c>
      <c r="AG54" s="2756"/>
      <c r="AH54" s="2756"/>
      <c r="AI54" s="2756"/>
      <c r="AJ54" s="2756"/>
      <c r="AK54" s="2756"/>
      <c r="AL54" s="2756"/>
      <c r="AM54" s="2756"/>
      <c r="AN54" s="2756"/>
      <c r="AO54" s="2765">
        <f>AO55+AO56</f>
        <v>0</v>
      </c>
      <c r="AP54" s="2756"/>
      <c r="AQ54" s="2765">
        <f>AQ55+AQ56</f>
        <v>0</v>
      </c>
      <c r="AR54" s="2755">
        <f>AR55+AR56</f>
        <v>10610</v>
      </c>
      <c r="AS54" s="2685"/>
      <c r="AT54" s="2719"/>
      <c r="AU54" s="2719"/>
      <c r="AV54" s="2719"/>
      <c r="AW54" s="2719"/>
      <c r="AX54" s="2719"/>
      <c r="AY54" s="2719"/>
      <c r="AZ54" s="2719"/>
      <c r="BA54" s="2719"/>
      <c r="BB54" s="2719"/>
      <c r="BC54" s="2719"/>
      <c r="BD54" s="2719"/>
      <c r="BE54" s="2719"/>
      <c r="BF54" s="2719"/>
      <c r="BG54" s="2719"/>
      <c r="BH54" s="2719"/>
    </row>
    <row r="55" spans="1:60" s="2692" customFormat="1" ht="13.5" x14ac:dyDescent="0.25">
      <c r="A55" s="2732" t="s">
        <v>23</v>
      </c>
      <c r="B55" s="2733" t="s">
        <v>1118</v>
      </c>
      <c r="C55" s="2761">
        <f>J55+K55</f>
        <v>0</v>
      </c>
      <c r="D55" s="2737"/>
      <c r="E55" s="2737"/>
      <c r="F55" s="2737"/>
      <c r="G55" s="2737"/>
      <c r="H55" s="2737"/>
      <c r="I55" s="2737"/>
      <c r="J55" s="2737"/>
      <c r="K55" s="2737"/>
      <c r="L55" s="2736">
        <f>M55+P55</f>
        <v>493000</v>
      </c>
      <c r="M55" s="2736">
        <f>N55+O55</f>
        <v>493000</v>
      </c>
      <c r="N55" s="2737"/>
      <c r="O55" s="2736">
        <f>10110+482890</f>
        <v>493000</v>
      </c>
      <c r="P55" s="2761">
        <f>W55+X55</f>
        <v>0</v>
      </c>
      <c r="Q55" s="2737"/>
      <c r="R55" s="2737"/>
      <c r="S55" s="2737">
        <f>SUM(Z55:AC55)</f>
        <v>0</v>
      </c>
      <c r="T55" s="2736"/>
      <c r="U55" s="2736"/>
      <c r="V55" s="2736"/>
      <c r="W55" s="2736"/>
      <c r="X55" s="2736"/>
      <c r="Y55" s="2736"/>
      <c r="Z55" s="2737"/>
      <c r="AA55" s="2737"/>
      <c r="AB55" s="2737"/>
      <c r="AC55" s="2736"/>
      <c r="AD55" s="2747">
        <f>AE55+AF55</f>
        <v>482890</v>
      </c>
      <c r="AE55" s="2736"/>
      <c r="AF55" s="2736">
        <v>482890</v>
      </c>
      <c r="AG55" s="2737"/>
      <c r="AH55" s="2737"/>
      <c r="AI55" s="2737"/>
      <c r="AJ55" s="2737"/>
      <c r="AK55" s="2737"/>
      <c r="AL55" s="2737"/>
      <c r="AM55" s="2737"/>
      <c r="AN55" s="2737"/>
      <c r="AO55" s="2737"/>
      <c r="AP55" s="2736"/>
      <c r="AQ55" s="2736"/>
      <c r="AR55" s="2736">
        <f>M55-AD55</f>
        <v>10110</v>
      </c>
      <c r="AS55" s="2682"/>
      <c r="AT55" s="2691"/>
      <c r="AU55" s="2691"/>
      <c r="AV55" s="2691"/>
      <c r="AW55" s="2691"/>
      <c r="AX55" s="2691"/>
      <c r="AY55" s="2691"/>
      <c r="AZ55" s="2691"/>
      <c r="BA55" s="2691"/>
      <c r="BB55" s="2691"/>
      <c r="BC55" s="2691"/>
      <c r="BD55" s="2691"/>
      <c r="BE55" s="2691"/>
      <c r="BF55" s="2691"/>
      <c r="BG55" s="2691"/>
      <c r="BH55" s="2691"/>
    </row>
    <row r="56" spans="1:60" s="2692" customFormat="1" ht="13.5" x14ac:dyDescent="0.25">
      <c r="A56" s="2732" t="s">
        <v>23</v>
      </c>
      <c r="B56" s="2733" t="s">
        <v>1119</v>
      </c>
      <c r="C56" s="2761">
        <f t="shared" ref="C56:C57" si="88">J56+K56</f>
        <v>0</v>
      </c>
      <c r="D56" s="2737"/>
      <c r="E56" s="2737"/>
      <c r="F56" s="2737"/>
      <c r="G56" s="2737"/>
      <c r="H56" s="2737"/>
      <c r="I56" s="2737"/>
      <c r="J56" s="2737"/>
      <c r="K56" s="2737"/>
      <c r="L56" s="2736">
        <f t="shared" ref="L56:L57" si="89">M56+P56</f>
        <v>10000</v>
      </c>
      <c r="M56" s="2736">
        <f t="shared" ref="M56:M57" si="90">N56+O56</f>
        <v>10000</v>
      </c>
      <c r="N56" s="2737"/>
      <c r="O56" s="2736">
        <f>500+9500</f>
        <v>10000</v>
      </c>
      <c r="P56" s="2761">
        <f t="shared" ref="P56:P57" si="91">W56+X56</f>
        <v>0</v>
      </c>
      <c r="Q56" s="2737"/>
      <c r="R56" s="2737"/>
      <c r="S56" s="2737">
        <f>SUM(Z56:AC56)</f>
        <v>0</v>
      </c>
      <c r="T56" s="2736"/>
      <c r="U56" s="2736"/>
      <c r="V56" s="2736"/>
      <c r="W56" s="2736"/>
      <c r="X56" s="2736"/>
      <c r="Y56" s="2736"/>
      <c r="Z56" s="2737"/>
      <c r="AA56" s="2737"/>
      <c r="AB56" s="2737"/>
      <c r="AC56" s="2736"/>
      <c r="AD56" s="2747">
        <f>AE56+AF56</f>
        <v>9500</v>
      </c>
      <c r="AE56" s="2736"/>
      <c r="AF56" s="2736">
        <v>9500</v>
      </c>
      <c r="AG56" s="2737"/>
      <c r="AH56" s="2737"/>
      <c r="AI56" s="2737"/>
      <c r="AJ56" s="2737"/>
      <c r="AK56" s="2737"/>
      <c r="AL56" s="2737"/>
      <c r="AM56" s="2737"/>
      <c r="AN56" s="2737"/>
      <c r="AO56" s="2737"/>
      <c r="AP56" s="2736"/>
      <c r="AQ56" s="2736"/>
      <c r="AR56" s="2736">
        <f>M56-AD56</f>
        <v>500</v>
      </c>
      <c r="AS56" s="2682"/>
      <c r="AT56" s="2691"/>
      <c r="AU56" s="2691"/>
      <c r="AV56" s="2691"/>
      <c r="AW56" s="2691"/>
      <c r="AX56" s="2691"/>
      <c r="AY56" s="2691"/>
      <c r="AZ56" s="2691"/>
      <c r="BA56" s="2691"/>
      <c r="BB56" s="2691"/>
      <c r="BC56" s="2691"/>
      <c r="BD56" s="2691"/>
      <c r="BE56" s="2691"/>
      <c r="BF56" s="2691"/>
      <c r="BG56" s="2691"/>
      <c r="BH56" s="2691"/>
    </row>
    <row r="57" spans="1:60" s="2692" customFormat="1" ht="13.5" hidden="1" x14ac:dyDescent="0.25">
      <c r="A57" s="2732" t="s">
        <v>23</v>
      </c>
      <c r="B57" s="2733" t="s">
        <v>502</v>
      </c>
      <c r="C57" s="2761">
        <f t="shared" si="88"/>
        <v>0</v>
      </c>
      <c r="D57" s="2737"/>
      <c r="E57" s="2737"/>
      <c r="F57" s="2737"/>
      <c r="G57" s="2737"/>
      <c r="H57" s="2737"/>
      <c r="I57" s="2737"/>
      <c r="J57" s="2737"/>
      <c r="K57" s="2737"/>
      <c r="L57" s="2736">
        <f t="shared" si="89"/>
        <v>0</v>
      </c>
      <c r="M57" s="2736">
        <f t="shared" si="90"/>
        <v>0</v>
      </c>
      <c r="N57" s="2737"/>
      <c r="O57" s="2736"/>
      <c r="P57" s="2761">
        <f t="shared" si="91"/>
        <v>0</v>
      </c>
      <c r="Q57" s="2737"/>
      <c r="R57" s="2737"/>
      <c r="S57" s="2737"/>
      <c r="T57" s="2736"/>
      <c r="U57" s="2736"/>
      <c r="V57" s="2736"/>
      <c r="W57" s="2736"/>
      <c r="X57" s="2736"/>
      <c r="Y57" s="2736"/>
      <c r="Z57" s="2737"/>
      <c r="AA57" s="2737"/>
      <c r="AB57" s="2737"/>
      <c r="AC57" s="2736"/>
      <c r="AD57" s="2736"/>
      <c r="AE57" s="2736"/>
      <c r="AF57" s="2736"/>
      <c r="AG57" s="2737"/>
      <c r="AH57" s="2737"/>
      <c r="AI57" s="2737"/>
      <c r="AJ57" s="2737"/>
      <c r="AK57" s="2737"/>
      <c r="AL57" s="2737"/>
      <c r="AM57" s="2737"/>
      <c r="AN57" s="2737"/>
      <c r="AO57" s="2737"/>
      <c r="AP57" s="2736"/>
      <c r="AQ57" s="2736"/>
      <c r="AR57" s="2736"/>
      <c r="AS57" s="2682"/>
      <c r="AT57" s="2691"/>
      <c r="AU57" s="2691"/>
      <c r="AV57" s="2691"/>
      <c r="AW57" s="2691"/>
      <c r="AX57" s="2691"/>
      <c r="AY57" s="2691"/>
      <c r="AZ57" s="2691"/>
      <c r="BA57" s="2691"/>
      <c r="BB57" s="2691"/>
      <c r="BC57" s="2691"/>
      <c r="BD57" s="2691"/>
      <c r="BE57" s="2691"/>
      <c r="BF57" s="2691"/>
      <c r="BG57" s="2691"/>
      <c r="BH57" s="2691"/>
    </row>
    <row r="58" spans="1:60" s="2720" customFormat="1" ht="27" x14ac:dyDescent="0.25">
      <c r="A58" s="2753" t="s">
        <v>574</v>
      </c>
      <c r="B58" s="2758" t="s">
        <v>2101</v>
      </c>
      <c r="C58" s="2765">
        <f>SUM(C59:C61)</f>
        <v>0</v>
      </c>
      <c r="D58" s="2756"/>
      <c r="E58" s="2756"/>
      <c r="F58" s="2756"/>
      <c r="G58" s="2756"/>
      <c r="H58" s="2756"/>
      <c r="I58" s="2756"/>
      <c r="J58" s="2756"/>
      <c r="K58" s="2756"/>
      <c r="L58" s="2755">
        <f>SUM(L59:L61)</f>
        <v>405000</v>
      </c>
      <c r="M58" s="2755">
        <f>SUM(M59:M61)</f>
        <v>405000</v>
      </c>
      <c r="N58" s="2756"/>
      <c r="O58" s="2755">
        <f>O59+O60</f>
        <v>405000</v>
      </c>
      <c r="P58" s="2765">
        <f>SUM(P59:P61)</f>
        <v>0</v>
      </c>
      <c r="Q58" s="2756"/>
      <c r="R58" s="2756"/>
      <c r="S58" s="2755">
        <f>S59+S60</f>
        <v>145809.5</v>
      </c>
      <c r="T58" s="2757"/>
      <c r="U58" s="2757"/>
      <c r="V58" s="2757"/>
      <c r="W58" s="2757"/>
      <c r="X58" s="2757"/>
      <c r="Y58" s="2757"/>
      <c r="Z58" s="2756"/>
      <c r="AA58" s="2765">
        <f>AA59+AA60</f>
        <v>0</v>
      </c>
      <c r="AB58" s="2756"/>
      <c r="AC58" s="2755">
        <f>AC59+AC60</f>
        <v>145809.5</v>
      </c>
      <c r="AD58" s="2755">
        <f t="shared" ref="AD58" si="92">AD59+AD60</f>
        <v>258942</v>
      </c>
      <c r="AE58" s="2757"/>
      <c r="AF58" s="2755">
        <f>AF59+AF60</f>
        <v>258942</v>
      </c>
      <c r="AG58" s="2756"/>
      <c r="AH58" s="2756"/>
      <c r="AI58" s="2756"/>
      <c r="AJ58" s="2756"/>
      <c r="AK58" s="2756"/>
      <c r="AL58" s="2756"/>
      <c r="AM58" s="2756"/>
      <c r="AN58" s="2756"/>
      <c r="AO58" s="2765">
        <f>AO59+AO60</f>
        <v>0</v>
      </c>
      <c r="AP58" s="2757"/>
      <c r="AQ58" s="2765">
        <f>AQ59+AQ60</f>
        <v>0</v>
      </c>
      <c r="AR58" s="2755">
        <f>AR59+AR60</f>
        <v>248.5</v>
      </c>
      <c r="AS58" s="2685"/>
      <c r="AT58" s="2719"/>
      <c r="AU58" s="2719"/>
      <c r="AV58" s="2719"/>
      <c r="AW58" s="2719"/>
      <c r="AX58" s="2719"/>
      <c r="AY58" s="2719"/>
      <c r="AZ58" s="2719"/>
      <c r="BA58" s="2719"/>
      <c r="BB58" s="2719"/>
      <c r="BC58" s="2719"/>
      <c r="BD58" s="2719"/>
      <c r="BE58" s="2719"/>
      <c r="BF58" s="2719"/>
      <c r="BG58" s="2719"/>
      <c r="BH58" s="2719"/>
    </row>
    <row r="59" spans="1:60" s="2692" customFormat="1" ht="16.5" customHeight="1" x14ac:dyDescent="0.25">
      <c r="A59" s="2732" t="s">
        <v>23</v>
      </c>
      <c r="B59" s="2733" t="s">
        <v>1118</v>
      </c>
      <c r="C59" s="2761">
        <f>J59+K59</f>
        <v>0</v>
      </c>
      <c r="D59" s="2737"/>
      <c r="E59" s="2737"/>
      <c r="F59" s="2737"/>
      <c r="G59" s="2737"/>
      <c r="H59" s="2737"/>
      <c r="I59" s="2737"/>
      <c r="J59" s="2737"/>
      <c r="K59" s="2737"/>
      <c r="L59" s="2736">
        <f>M59+P59</f>
        <v>393000</v>
      </c>
      <c r="M59" s="2736">
        <f>N59+O59</f>
        <v>393000</v>
      </c>
      <c r="N59" s="2737"/>
      <c r="O59" s="2736">
        <v>393000</v>
      </c>
      <c r="P59" s="2761">
        <f>W59+X59</f>
        <v>0</v>
      </c>
      <c r="Q59" s="2737"/>
      <c r="R59" s="2737"/>
      <c r="S59" s="2736">
        <f>SUM(Z59:AC59)</f>
        <v>141427.76</v>
      </c>
      <c r="T59" s="2736"/>
      <c r="U59" s="2736"/>
      <c r="V59" s="2736"/>
      <c r="W59" s="2736"/>
      <c r="X59" s="2736"/>
      <c r="Y59" s="2736"/>
      <c r="Z59" s="2737"/>
      <c r="AA59" s="2737"/>
      <c r="AB59" s="2737"/>
      <c r="AC59" s="2736">
        <v>141427.76</v>
      </c>
      <c r="AD59" s="2747">
        <f>AE59+AF59</f>
        <v>251323.74</v>
      </c>
      <c r="AE59" s="2736"/>
      <c r="AF59" s="2736">
        <f>M59-S59-AR59</f>
        <v>251323.74</v>
      </c>
      <c r="AG59" s="2737"/>
      <c r="AH59" s="2737"/>
      <c r="AI59" s="2737"/>
      <c r="AJ59" s="2737"/>
      <c r="AK59" s="2737"/>
      <c r="AL59" s="2737"/>
      <c r="AM59" s="2737"/>
      <c r="AN59" s="2737"/>
      <c r="AO59" s="2737"/>
      <c r="AP59" s="2736"/>
      <c r="AQ59" s="2736"/>
      <c r="AR59" s="2736">
        <v>248.5</v>
      </c>
      <c r="AS59" s="2682"/>
      <c r="AT59" s="2691"/>
      <c r="AU59" s="2691"/>
      <c r="AV59" s="2691"/>
      <c r="AW59" s="2691"/>
      <c r="AX59" s="2691"/>
      <c r="AY59" s="2691"/>
      <c r="AZ59" s="2691"/>
      <c r="BA59" s="2691"/>
      <c r="BB59" s="2691"/>
      <c r="BC59" s="2691"/>
      <c r="BD59" s="2691"/>
      <c r="BE59" s="2691"/>
      <c r="BF59" s="2691"/>
      <c r="BG59" s="2691"/>
      <c r="BH59" s="2691"/>
    </row>
    <row r="60" spans="1:60" s="2692" customFormat="1" ht="16.5" customHeight="1" x14ac:dyDescent="0.25">
      <c r="A60" s="2732" t="s">
        <v>23</v>
      </c>
      <c r="B60" s="2733" t="s">
        <v>1119</v>
      </c>
      <c r="C60" s="2761">
        <f t="shared" ref="C60:C61" si="93">J60+K60</f>
        <v>0</v>
      </c>
      <c r="D60" s="2737"/>
      <c r="E60" s="2737"/>
      <c r="F60" s="2737"/>
      <c r="G60" s="2737"/>
      <c r="H60" s="2737"/>
      <c r="I60" s="2737"/>
      <c r="J60" s="2737"/>
      <c r="K60" s="2737"/>
      <c r="L60" s="2736">
        <f t="shared" ref="L60:L61" si="94">M60+P60</f>
        <v>12000</v>
      </c>
      <c r="M60" s="2736">
        <f t="shared" ref="M60:M61" si="95">N60+O60</f>
        <v>12000</v>
      </c>
      <c r="N60" s="2737"/>
      <c r="O60" s="2736">
        <v>12000</v>
      </c>
      <c r="P60" s="2761">
        <f t="shared" ref="P60:P61" si="96">W60+X60</f>
        <v>0</v>
      </c>
      <c r="Q60" s="2737"/>
      <c r="R60" s="2737"/>
      <c r="S60" s="2736">
        <f>SUM(Z60:AC60)</f>
        <v>4381.74</v>
      </c>
      <c r="T60" s="2736"/>
      <c r="U60" s="2736"/>
      <c r="V60" s="2736"/>
      <c r="W60" s="2736"/>
      <c r="X60" s="2736"/>
      <c r="Y60" s="2736"/>
      <c r="Z60" s="2737"/>
      <c r="AA60" s="2737"/>
      <c r="AB60" s="2737"/>
      <c r="AC60" s="2736">
        <v>4381.74</v>
      </c>
      <c r="AD60" s="2747">
        <f>AE60+AF60</f>
        <v>7618.26</v>
      </c>
      <c r="AE60" s="2736"/>
      <c r="AF60" s="2736">
        <f>M60-S60</f>
        <v>7618.26</v>
      </c>
      <c r="AG60" s="2737"/>
      <c r="AH60" s="2737"/>
      <c r="AI60" s="2737"/>
      <c r="AJ60" s="2737"/>
      <c r="AK60" s="2737"/>
      <c r="AL60" s="2737"/>
      <c r="AM60" s="2737"/>
      <c r="AN60" s="2737"/>
      <c r="AO60" s="2737"/>
      <c r="AP60" s="2736"/>
      <c r="AQ60" s="2736"/>
      <c r="AR60" s="2736"/>
      <c r="AS60" s="2682"/>
      <c r="AT60" s="2691"/>
      <c r="AU60" s="2691"/>
      <c r="AV60" s="2691"/>
      <c r="AW60" s="2691"/>
      <c r="AX60" s="2691"/>
      <c r="AY60" s="2691"/>
      <c r="AZ60" s="2691"/>
      <c r="BA60" s="2691"/>
      <c r="BB60" s="2691"/>
      <c r="BC60" s="2691"/>
      <c r="BD60" s="2691"/>
      <c r="BE60" s="2691"/>
      <c r="BF60" s="2691"/>
      <c r="BG60" s="2691"/>
      <c r="BH60" s="2691"/>
    </row>
    <row r="61" spans="1:60" s="2692" customFormat="1" ht="16.5" hidden="1" customHeight="1" x14ac:dyDescent="0.25">
      <c r="A61" s="2732" t="s">
        <v>23</v>
      </c>
      <c r="B61" s="2733" t="s">
        <v>502</v>
      </c>
      <c r="C61" s="2761">
        <f t="shared" si="93"/>
        <v>0</v>
      </c>
      <c r="D61" s="2737"/>
      <c r="E61" s="2737"/>
      <c r="F61" s="2737"/>
      <c r="G61" s="2737"/>
      <c r="H61" s="2737"/>
      <c r="I61" s="2737"/>
      <c r="J61" s="2737"/>
      <c r="K61" s="2737"/>
      <c r="L61" s="2736">
        <f t="shared" si="94"/>
        <v>0</v>
      </c>
      <c r="M61" s="2736">
        <f t="shared" si="95"/>
        <v>0</v>
      </c>
      <c r="N61" s="2737"/>
      <c r="O61" s="2736"/>
      <c r="P61" s="2761">
        <f t="shared" si="96"/>
        <v>0</v>
      </c>
      <c r="Q61" s="2737"/>
      <c r="R61" s="2737"/>
      <c r="S61" s="2736"/>
      <c r="T61" s="2736"/>
      <c r="U61" s="2736"/>
      <c r="V61" s="2736"/>
      <c r="W61" s="2736"/>
      <c r="X61" s="2736"/>
      <c r="Y61" s="2736"/>
      <c r="Z61" s="2737"/>
      <c r="AA61" s="2737"/>
      <c r="AB61" s="2737"/>
      <c r="AC61" s="2736"/>
      <c r="AD61" s="2736"/>
      <c r="AE61" s="2736"/>
      <c r="AF61" s="2736"/>
      <c r="AG61" s="2737"/>
      <c r="AH61" s="2737"/>
      <c r="AI61" s="2737"/>
      <c r="AJ61" s="2737"/>
      <c r="AK61" s="2737"/>
      <c r="AL61" s="2737"/>
      <c r="AM61" s="2737"/>
      <c r="AN61" s="2737"/>
      <c r="AO61" s="2737"/>
      <c r="AP61" s="2736"/>
      <c r="AQ61" s="2736"/>
      <c r="AR61" s="2736"/>
      <c r="AS61" s="2682"/>
      <c r="AT61" s="2691"/>
      <c r="AU61" s="2691"/>
      <c r="AV61" s="2691"/>
      <c r="AW61" s="2691"/>
      <c r="AX61" s="2691"/>
      <c r="AY61" s="2691"/>
      <c r="AZ61" s="2691"/>
      <c r="BA61" s="2691"/>
      <c r="BB61" s="2691"/>
      <c r="BC61" s="2691"/>
      <c r="BD61" s="2691"/>
      <c r="BE61" s="2691"/>
      <c r="BF61" s="2691"/>
      <c r="BG61" s="2691"/>
      <c r="BH61" s="2691"/>
    </row>
    <row r="62" spans="1:60" s="2720" customFormat="1" ht="36" customHeight="1" x14ac:dyDescent="0.25">
      <c r="A62" s="2748">
        <v>4</v>
      </c>
      <c r="B62" s="2749" t="s">
        <v>1395</v>
      </c>
      <c r="C62" s="2751">
        <f>SUM(C63:C65)</f>
        <v>1650.2</v>
      </c>
      <c r="D62" s="2751">
        <f t="shared" ref="D62:J62" si="97">SUM(D63:D65)</f>
        <v>0</v>
      </c>
      <c r="E62" s="2751">
        <f t="shared" si="97"/>
        <v>0</v>
      </c>
      <c r="F62" s="2751">
        <f t="shared" si="97"/>
        <v>0</v>
      </c>
      <c r="G62" s="2751">
        <f t="shared" si="97"/>
        <v>0</v>
      </c>
      <c r="H62" s="2751">
        <f t="shared" si="97"/>
        <v>0</v>
      </c>
      <c r="I62" s="2751">
        <f t="shared" si="97"/>
        <v>0</v>
      </c>
      <c r="J62" s="2751">
        <f t="shared" si="97"/>
        <v>0</v>
      </c>
      <c r="K62" s="2751">
        <f>SUM(K63:K65)</f>
        <v>1650.2</v>
      </c>
      <c r="L62" s="2750">
        <f>SUM(L63:L65)</f>
        <v>67000</v>
      </c>
      <c r="M62" s="2750">
        <f>SUM(M63:M65)</f>
        <v>67000</v>
      </c>
      <c r="N62" s="2751">
        <f t="shared" ref="N62" si="98">SUM(N63:N65)</f>
        <v>0</v>
      </c>
      <c r="O62" s="2750">
        <f t="shared" ref="O62" si="99">SUM(O63:O65)</f>
        <v>67000</v>
      </c>
      <c r="P62" s="2751">
        <f>SUM(P63:P65)</f>
        <v>0</v>
      </c>
      <c r="Q62" s="2751">
        <f t="shared" ref="Q62" si="100">SUM(Q63:Q65)</f>
        <v>0</v>
      </c>
      <c r="R62" s="2751">
        <f t="shared" ref="R62" si="101">SUM(R63:R65)</f>
        <v>0</v>
      </c>
      <c r="S62" s="2750">
        <f t="shared" ref="S62" si="102">SUM(S63:S65)</f>
        <v>67651.520000000004</v>
      </c>
      <c r="T62" s="2750">
        <f t="shared" ref="T62" si="103">SUM(T63:T65)</f>
        <v>0</v>
      </c>
      <c r="U62" s="2750">
        <f t="shared" ref="U62" si="104">SUM(U63:U65)</f>
        <v>0</v>
      </c>
      <c r="V62" s="2750">
        <f t="shared" ref="V62" si="105">SUM(V63:V65)</f>
        <v>0</v>
      </c>
      <c r="W62" s="2750">
        <f t="shared" ref="W62" si="106">SUM(W63:W65)</f>
        <v>0</v>
      </c>
      <c r="X62" s="2750">
        <f t="shared" ref="X62" si="107">SUM(X63:X65)</f>
        <v>0</v>
      </c>
      <c r="Y62" s="2750">
        <f t="shared" ref="Y62" si="108">SUM(Y63:Y65)</f>
        <v>0</v>
      </c>
      <c r="Z62" s="2751">
        <f t="shared" ref="Z62" si="109">SUM(Z63:Z65)</f>
        <v>0</v>
      </c>
      <c r="AA62" s="2768">
        <f t="shared" ref="AA62" si="110">SUM(AA63:AA65)</f>
        <v>1650.2</v>
      </c>
      <c r="AB62" s="2751">
        <f t="shared" ref="AB62" si="111">SUM(AB63:AB65)</f>
        <v>0</v>
      </c>
      <c r="AC62" s="2750">
        <f t="shared" ref="AC62" si="112">SUM(AC63:AC65)</f>
        <v>66001.320000000007</v>
      </c>
      <c r="AD62" s="2751">
        <f t="shared" ref="AD62" si="113">SUM(AD63:AD65)</f>
        <v>0</v>
      </c>
      <c r="AE62" s="2751">
        <f t="shared" ref="AE62" si="114">SUM(AE63:AE65)</f>
        <v>0</v>
      </c>
      <c r="AF62" s="2751">
        <f t="shared" ref="AF62" si="115">SUM(AF63:AF65)</f>
        <v>0</v>
      </c>
      <c r="AG62" s="2751">
        <f t="shared" ref="AG62" si="116">SUM(AG63:AG65)</f>
        <v>0</v>
      </c>
      <c r="AH62" s="2751">
        <f t="shared" ref="AH62" si="117">SUM(AH63:AH65)</f>
        <v>0</v>
      </c>
      <c r="AI62" s="2751">
        <f t="shared" ref="AI62" si="118">SUM(AI63:AI65)</f>
        <v>0</v>
      </c>
      <c r="AJ62" s="2751">
        <f t="shared" ref="AJ62" si="119">SUM(AJ63:AJ65)</f>
        <v>0</v>
      </c>
      <c r="AK62" s="2751">
        <f t="shared" ref="AK62" si="120">SUM(AK63:AK65)</f>
        <v>0</v>
      </c>
      <c r="AL62" s="2751">
        <f t="shared" ref="AL62" si="121">SUM(AL63:AL65)</f>
        <v>0</v>
      </c>
      <c r="AM62" s="2751">
        <f t="shared" ref="AM62" si="122">SUM(AM63:AM65)</f>
        <v>0</v>
      </c>
      <c r="AN62" s="2751">
        <f t="shared" ref="AN62" si="123">SUM(AN63:AN65)</f>
        <v>0</v>
      </c>
      <c r="AO62" s="2751">
        <f t="shared" ref="AO62" si="124">SUM(AO63:AO65)</f>
        <v>0</v>
      </c>
      <c r="AP62" s="2751">
        <f t="shared" ref="AP62" si="125">SUM(AP63:AP65)</f>
        <v>0</v>
      </c>
      <c r="AQ62" s="2751">
        <f t="shared" ref="AQ62" si="126">SUM(AQ63:AQ65)</f>
        <v>0</v>
      </c>
      <c r="AR62" s="2750">
        <f>SUM(AR63:AR65)</f>
        <v>998.67999999999984</v>
      </c>
      <c r="AS62" s="2686"/>
      <c r="AT62" s="2719"/>
      <c r="AU62" s="2719"/>
      <c r="AV62" s="2719"/>
      <c r="AW62" s="2719"/>
      <c r="AX62" s="2719"/>
      <c r="AY62" s="2719"/>
      <c r="AZ62" s="2719"/>
      <c r="BA62" s="2719"/>
      <c r="BB62" s="2719"/>
      <c r="BC62" s="2719"/>
      <c r="BD62" s="2719"/>
      <c r="BE62" s="2719"/>
      <c r="BF62" s="2719"/>
      <c r="BG62" s="2719"/>
      <c r="BH62" s="2719"/>
    </row>
    <row r="63" spans="1:60" s="2720" customFormat="1" ht="16.5" customHeight="1" x14ac:dyDescent="0.25">
      <c r="A63" s="2732" t="s">
        <v>23</v>
      </c>
      <c r="B63" s="2733" t="s">
        <v>1118</v>
      </c>
      <c r="C63" s="2761">
        <f>J63+K63</f>
        <v>0</v>
      </c>
      <c r="D63" s="2737"/>
      <c r="E63" s="2737"/>
      <c r="F63" s="2737"/>
      <c r="G63" s="2737"/>
      <c r="H63" s="2737"/>
      <c r="I63" s="2737"/>
      <c r="J63" s="2737">
        <f t="shared" ref="J63:K65" si="127">J67+J71</f>
        <v>0</v>
      </c>
      <c r="K63" s="2737">
        <f t="shared" si="127"/>
        <v>0</v>
      </c>
      <c r="L63" s="2736">
        <f>M63+P63</f>
        <v>64000</v>
      </c>
      <c r="M63" s="2736">
        <f>N63+O63</f>
        <v>64000</v>
      </c>
      <c r="N63" s="2737">
        <f t="shared" ref="N63:O65" si="128">N67+N71</f>
        <v>0</v>
      </c>
      <c r="O63" s="2736">
        <f t="shared" si="128"/>
        <v>64000</v>
      </c>
      <c r="P63" s="2761">
        <f>W63+X63</f>
        <v>0</v>
      </c>
      <c r="Q63" s="2737">
        <f t="shared" ref="Q63:S65" si="129">Q67+Q71</f>
        <v>0</v>
      </c>
      <c r="R63" s="2737">
        <f t="shared" si="129"/>
        <v>0</v>
      </c>
      <c r="S63" s="2736">
        <f t="shared" si="129"/>
        <v>64000</v>
      </c>
      <c r="T63" s="2736"/>
      <c r="U63" s="2736"/>
      <c r="V63" s="2736"/>
      <c r="W63" s="2736"/>
      <c r="X63" s="2736"/>
      <c r="Y63" s="2736"/>
      <c r="Z63" s="2737">
        <f t="shared" ref="Z63:AC65" si="130">Z67+Z71</f>
        <v>0</v>
      </c>
      <c r="AA63" s="2737">
        <f t="shared" si="130"/>
        <v>0</v>
      </c>
      <c r="AB63" s="2737">
        <f t="shared" si="130"/>
        <v>0</v>
      </c>
      <c r="AC63" s="2736">
        <f t="shared" si="130"/>
        <v>64000</v>
      </c>
      <c r="AD63" s="2737"/>
      <c r="AE63" s="2737">
        <f t="shared" ref="AE63:AF65" si="131">AE67+AE71</f>
        <v>0</v>
      </c>
      <c r="AF63" s="2737">
        <f t="shared" si="131"/>
        <v>0</v>
      </c>
      <c r="AG63" s="2737"/>
      <c r="AH63" s="2737"/>
      <c r="AI63" s="2737"/>
      <c r="AJ63" s="2737"/>
      <c r="AK63" s="2737"/>
      <c r="AL63" s="2737"/>
      <c r="AM63" s="2737"/>
      <c r="AN63" s="2737">
        <f t="shared" ref="AN63:AR65" si="132">AN67+AN71</f>
        <v>0</v>
      </c>
      <c r="AO63" s="2737">
        <f t="shared" si="132"/>
        <v>0</v>
      </c>
      <c r="AP63" s="2737">
        <f t="shared" si="132"/>
        <v>0</v>
      </c>
      <c r="AQ63" s="2737">
        <f t="shared" si="132"/>
        <v>0</v>
      </c>
      <c r="AR63" s="2737">
        <f t="shared" si="132"/>
        <v>0</v>
      </c>
      <c r="AS63" s="2686"/>
      <c r="AT63" s="2719"/>
      <c r="AU63" s="2719"/>
      <c r="AV63" s="2719"/>
      <c r="AW63" s="2719"/>
      <c r="AX63" s="2719"/>
      <c r="AY63" s="2719"/>
      <c r="AZ63" s="2719"/>
      <c r="BA63" s="2719"/>
      <c r="BB63" s="2719"/>
      <c r="BC63" s="2719"/>
      <c r="BD63" s="2719"/>
      <c r="BE63" s="2719"/>
      <c r="BF63" s="2719"/>
      <c r="BG63" s="2719"/>
      <c r="BH63" s="2719"/>
    </row>
    <row r="64" spans="1:60" s="2720" customFormat="1" ht="16.5" customHeight="1" x14ac:dyDescent="0.25">
      <c r="A64" s="2732" t="s">
        <v>23</v>
      </c>
      <c r="B64" s="2733" t="s">
        <v>1119</v>
      </c>
      <c r="C64" s="2761">
        <f t="shared" ref="C64" si="133">J64+K64</f>
        <v>1650.2</v>
      </c>
      <c r="D64" s="2737"/>
      <c r="E64" s="2737"/>
      <c r="F64" s="2737"/>
      <c r="G64" s="2737"/>
      <c r="H64" s="2737"/>
      <c r="I64" s="2737"/>
      <c r="J64" s="2737">
        <f t="shared" si="127"/>
        <v>0</v>
      </c>
      <c r="K64" s="2737">
        <f t="shared" si="127"/>
        <v>1650.2</v>
      </c>
      <c r="L64" s="2736">
        <f t="shared" ref="L64:L65" si="134">M64+P64</f>
        <v>3000</v>
      </c>
      <c r="M64" s="2736">
        <f t="shared" ref="M64:M65" si="135">N64+O64</f>
        <v>3000</v>
      </c>
      <c r="N64" s="2737">
        <f t="shared" si="128"/>
        <v>0</v>
      </c>
      <c r="O64" s="2736">
        <f t="shared" si="128"/>
        <v>3000</v>
      </c>
      <c r="P64" s="2761">
        <f t="shared" ref="P64:P65" si="136">W64+X64</f>
        <v>0</v>
      </c>
      <c r="Q64" s="2737">
        <f t="shared" si="129"/>
        <v>0</v>
      </c>
      <c r="R64" s="2737">
        <f t="shared" si="129"/>
        <v>0</v>
      </c>
      <c r="S64" s="2736">
        <f t="shared" si="129"/>
        <v>3651.52</v>
      </c>
      <c r="T64" s="2736"/>
      <c r="U64" s="2736"/>
      <c r="V64" s="2736"/>
      <c r="W64" s="2736"/>
      <c r="X64" s="2736"/>
      <c r="Y64" s="2736"/>
      <c r="Z64" s="2737">
        <f t="shared" si="130"/>
        <v>0</v>
      </c>
      <c r="AA64" s="2736">
        <f t="shared" si="130"/>
        <v>1650.2</v>
      </c>
      <c r="AB64" s="2737">
        <f t="shared" si="130"/>
        <v>0</v>
      </c>
      <c r="AC64" s="2736">
        <f>AC68+AC72</f>
        <v>2001.32</v>
      </c>
      <c r="AD64" s="2737"/>
      <c r="AE64" s="2737">
        <f t="shared" si="131"/>
        <v>0</v>
      </c>
      <c r="AF64" s="2737">
        <f t="shared" si="131"/>
        <v>0</v>
      </c>
      <c r="AG64" s="2737"/>
      <c r="AH64" s="2737"/>
      <c r="AI64" s="2737"/>
      <c r="AJ64" s="2737"/>
      <c r="AK64" s="2737"/>
      <c r="AL64" s="2737"/>
      <c r="AM64" s="2737"/>
      <c r="AN64" s="2737">
        <f t="shared" si="132"/>
        <v>0</v>
      </c>
      <c r="AO64" s="2737">
        <f t="shared" si="132"/>
        <v>0</v>
      </c>
      <c r="AP64" s="2737">
        <f t="shared" si="132"/>
        <v>0</v>
      </c>
      <c r="AQ64" s="2737">
        <f t="shared" si="132"/>
        <v>0</v>
      </c>
      <c r="AR64" s="2736">
        <f t="shared" si="132"/>
        <v>998.67999999999984</v>
      </c>
      <c r="AS64" s="2686"/>
      <c r="AT64" s="2719"/>
      <c r="AU64" s="2719"/>
      <c r="AV64" s="2719"/>
      <c r="AW64" s="2719"/>
      <c r="AX64" s="2719"/>
      <c r="AY64" s="2719"/>
      <c r="AZ64" s="2719"/>
      <c r="BA64" s="2719"/>
      <c r="BB64" s="2719"/>
      <c r="BC64" s="2719"/>
      <c r="BD64" s="2719"/>
      <c r="BE64" s="2719"/>
      <c r="BF64" s="2719"/>
      <c r="BG64" s="2719"/>
      <c r="BH64" s="2719"/>
    </row>
    <row r="65" spans="1:60" s="2720" customFormat="1" ht="16.5" hidden="1" customHeight="1" x14ac:dyDescent="0.25">
      <c r="A65" s="2732" t="s">
        <v>23</v>
      </c>
      <c r="B65" s="2733" t="s">
        <v>502</v>
      </c>
      <c r="C65" s="2761">
        <f>J65+K65</f>
        <v>0</v>
      </c>
      <c r="D65" s="2737"/>
      <c r="E65" s="2737"/>
      <c r="F65" s="2737"/>
      <c r="G65" s="2737"/>
      <c r="H65" s="2737"/>
      <c r="I65" s="2737"/>
      <c r="J65" s="2737">
        <f t="shared" si="127"/>
        <v>0</v>
      </c>
      <c r="K65" s="2737">
        <f t="shared" si="127"/>
        <v>0</v>
      </c>
      <c r="L65" s="2736">
        <f t="shared" si="134"/>
        <v>0</v>
      </c>
      <c r="M65" s="2737">
        <f t="shared" si="135"/>
        <v>0</v>
      </c>
      <c r="N65" s="2737">
        <f t="shared" si="128"/>
        <v>0</v>
      </c>
      <c r="O65" s="2737">
        <f t="shared" si="128"/>
        <v>0</v>
      </c>
      <c r="P65" s="2761">
        <f t="shared" si="136"/>
        <v>0</v>
      </c>
      <c r="Q65" s="2737">
        <f t="shared" si="129"/>
        <v>0</v>
      </c>
      <c r="R65" s="2737">
        <f t="shared" si="129"/>
        <v>0</v>
      </c>
      <c r="S65" s="2737">
        <f t="shared" si="129"/>
        <v>0</v>
      </c>
      <c r="T65" s="2737"/>
      <c r="U65" s="2737"/>
      <c r="V65" s="2737"/>
      <c r="W65" s="2737"/>
      <c r="X65" s="2737"/>
      <c r="Y65" s="2737"/>
      <c r="Z65" s="2737">
        <f t="shared" si="130"/>
        <v>0</v>
      </c>
      <c r="AA65" s="2736">
        <f t="shared" si="130"/>
        <v>0</v>
      </c>
      <c r="AB65" s="2737">
        <f t="shared" si="130"/>
        <v>0</v>
      </c>
      <c r="AC65" s="2737">
        <f t="shared" si="130"/>
        <v>0</v>
      </c>
      <c r="AD65" s="2737"/>
      <c r="AE65" s="2737">
        <f t="shared" si="131"/>
        <v>0</v>
      </c>
      <c r="AF65" s="2737">
        <f t="shared" si="131"/>
        <v>0</v>
      </c>
      <c r="AG65" s="2737"/>
      <c r="AH65" s="2737"/>
      <c r="AI65" s="2737"/>
      <c r="AJ65" s="2737"/>
      <c r="AK65" s="2737"/>
      <c r="AL65" s="2737"/>
      <c r="AM65" s="2737"/>
      <c r="AN65" s="2737">
        <f t="shared" si="132"/>
        <v>0</v>
      </c>
      <c r="AO65" s="2737">
        <f t="shared" si="132"/>
        <v>0</v>
      </c>
      <c r="AP65" s="2737">
        <f t="shared" si="132"/>
        <v>0</v>
      </c>
      <c r="AQ65" s="2737">
        <f t="shared" si="132"/>
        <v>0</v>
      </c>
      <c r="AR65" s="2737">
        <f t="shared" si="132"/>
        <v>0</v>
      </c>
      <c r="AS65" s="2686"/>
      <c r="AT65" s="2719"/>
      <c r="AU65" s="2719"/>
      <c r="AV65" s="2719"/>
      <c r="AW65" s="2719"/>
      <c r="AX65" s="2719"/>
      <c r="AY65" s="2719"/>
      <c r="AZ65" s="2719"/>
      <c r="BA65" s="2719"/>
      <c r="BB65" s="2719"/>
      <c r="BC65" s="2719"/>
      <c r="BD65" s="2719"/>
      <c r="BE65" s="2719"/>
      <c r="BF65" s="2719"/>
      <c r="BG65" s="2719"/>
      <c r="BH65" s="2719"/>
    </row>
    <row r="66" spans="1:60" s="2720" customFormat="1" ht="35.25" customHeight="1" x14ac:dyDescent="0.25">
      <c r="A66" s="2753" t="s">
        <v>605</v>
      </c>
      <c r="B66" s="2754" t="s">
        <v>2098</v>
      </c>
      <c r="C66" s="2765">
        <f>SUM(C67:C69)</f>
        <v>1650.2</v>
      </c>
      <c r="D66" s="2756"/>
      <c r="E66" s="2756"/>
      <c r="F66" s="2756"/>
      <c r="G66" s="2756"/>
      <c r="H66" s="2756"/>
      <c r="I66" s="2756"/>
      <c r="J66" s="2756"/>
      <c r="K66" s="2765">
        <f>SUM(K67:K69)</f>
        <v>1650.2</v>
      </c>
      <c r="L66" s="2755">
        <f>SUM(L67:L69)</f>
        <v>15400</v>
      </c>
      <c r="M66" s="2755">
        <f>SUM(M67:M69)</f>
        <v>15400</v>
      </c>
      <c r="N66" s="2756"/>
      <c r="O66" s="2755">
        <f>SUM(O67:O69)</f>
        <v>15400</v>
      </c>
      <c r="P66" s="2765">
        <f>SUM(P67:P69)</f>
        <v>0</v>
      </c>
      <c r="Q66" s="2756"/>
      <c r="R66" s="2756"/>
      <c r="S66" s="2755">
        <f>S67+S68</f>
        <v>16051.52</v>
      </c>
      <c r="T66" s="2757"/>
      <c r="U66" s="2757"/>
      <c r="V66" s="2757"/>
      <c r="W66" s="2757"/>
      <c r="X66" s="2757"/>
      <c r="Y66" s="2757"/>
      <c r="Z66" s="2756"/>
      <c r="AA66" s="2755">
        <f>AA67+AA68</f>
        <v>1650.2</v>
      </c>
      <c r="AB66" s="2756"/>
      <c r="AC66" s="2755">
        <f>AC67+AC68</f>
        <v>14401.32</v>
      </c>
      <c r="AD66" s="2756"/>
      <c r="AE66" s="2756"/>
      <c r="AF66" s="2765">
        <f>AF67+AF68</f>
        <v>0</v>
      </c>
      <c r="AG66" s="2756"/>
      <c r="AH66" s="2756"/>
      <c r="AI66" s="2756"/>
      <c r="AJ66" s="2756"/>
      <c r="AK66" s="2756"/>
      <c r="AL66" s="2756"/>
      <c r="AM66" s="2756"/>
      <c r="AN66" s="2756"/>
      <c r="AO66" s="2765">
        <f>AO67+AO68</f>
        <v>0</v>
      </c>
      <c r="AP66" s="2756"/>
      <c r="AQ66" s="2765">
        <f>AQ67+AQ68</f>
        <v>0</v>
      </c>
      <c r="AR66" s="2755">
        <f>AR67+AR68</f>
        <v>998.67999999999984</v>
      </c>
      <c r="AS66" s="2686"/>
      <c r="AT66" s="2719"/>
      <c r="AU66" s="2719"/>
      <c r="AV66" s="2719"/>
      <c r="AW66" s="2719"/>
      <c r="AX66" s="2719"/>
      <c r="AY66" s="2719"/>
      <c r="AZ66" s="2719"/>
      <c r="BA66" s="2719"/>
      <c r="BB66" s="2719"/>
      <c r="BC66" s="2719"/>
      <c r="BD66" s="2719"/>
      <c r="BE66" s="2719"/>
      <c r="BF66" s="2719"/>
      <c r="BG66" s="2719"/>
      <c r="BH66" s="2719"/>
    </row>
    <row r="67" spans="1:60" s="2720" customFormat="1" ht="16.5" customHeight="1" x14ac:dyDescent="0.25">
      <c r="A67" s="2732" t="s">
        <v>23</v>
      </c>
      <c r="B67" s="2733" t="s">
        <v>1118</v>
      </c>
      <c r="C67" s="2761">
        <f>J67+K67</f>
        <v>0</v>
      </c>
      <c r="D67" s="2737"/>
      <c r="E67" s="2737"/>
      <c r="F67" s="2737"/>
      <c r="G67" s="2737"/>
      <c r="H67" s="2737"/>
      <c r="I67" s="2737"/>
      <c r="J67" s="2737"/>
      <c r="K67" s="2737"/>
      <c r="L67" s="2736">
        <f>M67+P67</f>
        <v>14000</v>
      </c>
      <c r="M67" s="2736">
        <f>N67+O67</f>
        <v>14000</v>
      </c>
      <c r="N67" s="2737"/>
      <c r="O67" s="2736">
        <v>14000</v>
      </c>
      <c r="P67" s="2761">
        <f>W67+X67</f>
        <v>0</v>
      </c>
      <c r="Q67" s="2737"/>
      <c r="R67" s="2737"/>
      <c r="S67" s="2736">
        <f>SUM(Z67:AC67)</f>
        <v>14000</v>
      </c>
      <c r="T67" s="2736"/>
      <c r="U67" s="2736"/>
      <c r="V67" s="2736"/>
      <c r="W67" s="2736"/>
      <c r="X67" s="2736"/>
      <c r="Y67" s="2736"/>
      <c r="Z67" s="2737"/>
      <c r="AA67" s="2736"/>
      <c r="AB67" s="2737"/>
      <c r="AC67" s="2736">
        <v>14000</v>
      </c>
      <c r="AD67" s="2737"/>
      <c r="AE67" s="2737"/>
      <c r="AF67" s="2737"/>
      <c r="AG67" s="2737"/>
      <c r="AH67" s="2737"/>
      <c r="AI67" s="2737"/>
      <c r="AJ67" s="2737"/>
      <c r="AK67" s="2737"/>
      <c r="AL67" s="2737"/>
      <c r="AM67" s="2737"/>
      <c r="AN67" s="2737"/>
      <c r="AO67" s="2737"/>
      <c r="AP67" s="2737"/>
      <c r="AQ67" s="2737"/>
      <c r="AR67" s="2737">
        <f>M67-S67</f>
        <v>0</v>
      </c>
      <c r="AS67" s="2686"/>
      <c r="AT67" s="2719"/>
      <c r="AU67" s="2719"/>
      <c r="AV67" s="2719"/>
      <c r="AW67" s="2719"/>
      <c r="AX67" s="2719"/>
      <c r="AY67" s="2719"/>
      <c r="AZ67" s="2719"/>
      <c r="BA67" s="2719"/>
      <c r="BB67" s="2719"/>
      <c r="BC67" s="2719"/>
      <c r="BD67" s="2719"/>
      <c r="BE67" s="2719"/>
      <c r="BF67" s="2719"/>
      <c r="BG67" s="2719"/>
      <c r="BH67" s="2719"/>
    </row>
    <row r="68" spans="1:60" s="2720" customFormat="1" ht="16.5" customHeight="1" x14ac:dyDescent="0.25">
      <c r="A68" s="2732" t="s">
        <v>23</v>
      </c>
      <c r="B68" s="2733" t="s">
        <v>1119</v>
      </c>
      <c r="C68" s="2761">
        <f t="shared" ref="C68:C69" si="137">J68+K68</f>
        <v>1650.2</v>
      </c>
      <c r="D68" s="2737"/>
      <c r="E68" s="2737"/>
      <c r="F68" s="2737"/>
      <c r="G68" s="2737"/>
      <c r="H68" s="2737"/>
      <c r="I68" s="2737"/>
      <c r="J68" s="2737"/>
      <c r="K68" s="2737">
        <v>1650.2</v>
      </c>
      <c r="L68" s="2736">
        <f t="shared" ref="L68:L69" si="138">M68+P68</f>
        <v>1400</v>
      </c>
      <c r="M68" s="2736">
        <f t="shared" ref="M68:M69" si="139">N68+O68</f>
        <v>1400</v>
      </c>
      <c r="N68" s="2737"/>
      <c r="O68" s="2736">
        <v>1400</v>
      </c>
      <c r="P68" s="2761">
        <f t="shared" ref="P68:P69" si="140">W68+X68</f>
        <v>0</v>
      </c>
      <c r="Q68" s="2737"/>
      <c r="R68" s="2737"/>
      <c r="S68" s="2736">
        <f>SUM(Z68:AC68)</f>
        <v>2051.52</v>
      </c>
      <c r="T68" s="2736"/>
      <c r="U68" s="2736"/>
      <c r="V68" s="2736"/>
      <c r="W68" s="2736"/>
      <c r="X68" s="2736"/>
      <c r="Y68" s="2736"/>
      <c r="Z68" s="2737"/>
      <c r="AA68" s="2736">
        <v>1650.2</v>
      </c>
      <c r="AB68" s="2737"/>
      <c r="AC68" s="2736">
        <v>401.32</v>
      </c>
      <c r="AD68" s="2737"/>
      <c r="AE68" s="2737"/>
      <c r="AF68" s="2737"/>
      <c r="AG68" s="2737"/>
      <c r="AH68" s="2737"/>
      <c r="AI68" s="2737"/>
      <c r="AJ68" s="2737"/>
      <c r="AK68" s="2737"/>
      <c r="AL68" s="2737"/>
      <c r="AM68" s="2737"/>
      <c r="AN68" s="2737"/>
      <c r="AO68" s="2737"/>
      <c r="AP68" s="2736"/>
      <c r="AQ68" s="2736"/>
      <c r="AR68" s="2736">
        <f>C68+L68-S68</f>
        <v>998.67999999999984</v>
      </c>
      <c r="AS68" s="2686"/>
      <c r="AT68" s="2719"/>
      <c r="AU68" s="2719"/>
      <c r="AV68" s="2719"/>
      <c r="AW68" s="2719"/>
      <c r="AX68" s="2719"/>
      <c r="AY68" s="2719"/>
      <c r="AZ68" s="2719"/>
      <c r="BA68" s="2719"/>
      <c r="BB68" s="2719"/>
      <c r="BC68" s="2719"/>
      <c r="BD68" s="2719"/>
      <c r="BE68" s="2719"/>
      <c r="BF68" s="2719"/>
      <c r="BG68" s="2719"/>
      <c r="BH68" s="2719"/>
    </row>
    <row r="69" spans="1:60" s="2720" customFormat="1" ht="16.5" hidden="1" customHeight="1" x14ac:dyDescent="0.25">
      <c r="A69" s="2732" t="s">
        <v>23</v>
      </c>
      <c r="B69" s="2733" t="s">
        <v>502</v>
      </c>
      <c r="C69" s="2761">
        <f t="shared" si="137"/>
        <v>0</v>
      </c>
      <c r="D69" s="2737"/>
      <c r="E69" s="2737"/>
      <c r="F69" s="2737"/>
      <c r="G69" s="2737"/>
      <c r="H69" s="2737"/>
      <c r="I69" s="2737"/>
      <c r="J69" s="2737"/>
      <c r="K69" s="2737"/>
      <c r="L69" s="2736">
        <f t="shared" si="138"/>
        <v>0</v>
      </c>
      <c r="M69" s="2736">
        <f t="shared" si="139"/>
        <v>0</v>
      </c>
      <c r="N69" s="2737"/>
      <c r="O69" s="2736"/>
      <c r="P69" s="2761">
        <f t="shared" si="140"/>
        <v>0</v>
      </c>
      <c r="Q69" s="2737"/>
      <c r="R69" s="2737"/>
      <c r="S69" s="2736"/>
      <c r="T69" s="2736"/>
      <c r="U69" s="2736"/>
      <c r="V69" s="2736"/>
      <c r="W69" s="2736"/>
      <c r="X69" s="2736"/>
      <c r="Y69" s="2736"/>
      <c r="Z69" s="2737"/>
      <c r="AA69" s="2737"/>
      <c r="AB69" s="2737"/>
      <c r="AC69" s="2736"/>
      <c r="AD69" s="2737"/>
      <c r="AE69" s="2737"/>
      <c r="AF69" s="2737"/>
      <c r="AG69" s="2737"/>
      <c r="AH69" s="2737"/>
      <c r="AI69" s="2737"/>
      <c r="AJ69" s="2737"/>
      <c r="AK69" s="2737"/>
      <c r="AL69" s="2737"/>
      <c r="AM69" s="2737"/>
      <c r="AN69" s="2737"/>
      <c r="AO69" s="2737"/>
      <c r="AP69" s="2736"/>
      <c r="AQ69" s="2736"/>
      <c r="AR69" s="2736"/>
      <c r="AS69" s="2686"/>
      <c r="AT69" s="2719"/>
      <c r="AU69" s="2719"/>
      <c r="AV69" s="2719"/>
      <c r="AW69" s="2719"/>
      <c r="AX69" s="2719"/>
      <c r="AY69" s="2719"/>
      <c r="AZ69" s="2719"/>
      <c r="BA69" s="2719"/>
      <c r="BB69" s="2719"/>
      <c r="BC69" s="2719"/>
      <c r="BD69" s="2719"/>
      <c r="BE69" s="2719"/>
      <c r="BF69" s="2719"/>
      <c r="BG69" s="2719"/>
      <c r="BH69" s="2719"/>
    </row>
    <row r="70" spans="1:60" s="2720" customFormat="1" ht="36" customHeight="1" x14ac:dyDescent="0.25">
      <c r="A70" s="2753" t="s">
        <v>606</v>
      </c>
      <c r="B70" s="2754" t="s">
        <v>2099</v>
      </c>
      <c r="C70" s="2765">
        <f>SUM(C71:C73)</f>
        <v>0</v>
      </c>
      <c r="D70" s="2756"/>
      <c r="E70" s="2756"/>
      <c r="F70" s="2756"/>
      <c r="G70" s="2756"/>
      <c r="H70" s="2756"/>
      <c r="I70" s="2756"/>
      <c r="J70" s="2756"/>
      <c r="K70" s="2756"/>
      <c r="L70" s="2755">
        <f>SUM(L71:L73)</f>
        <v>51600</v>
      </c>
      <c r="M70" s="2755">
        <f>SUM(M71:M73)</f>
        <v>51600</v>
      </c>
      <c r="N70" s="2756"/>
      <c r="O70" s="2755">
        <f>SUM(O71:O73)</f>
        <v>51600</v>
      </c>
      <c r="P70" s="2765">
        <f>SUM(P71:P73)</f>
        <v>0</v>
      </c>
      <c r="Q70" s="2756"/>
      <c r="R70" s="2756"/>
      <c r="S70" s="2755">
        <f>S71+S72</f>
        <v>51600</v>
      </c>
      <c r="T70" s="2757"/>
      <c r="U70" s="2757"/>
      <c r="V70" s="2757"/>
      <c r="W70" s="2757"/>
      <c r="X70" s="2757"/>
      <c r="Y70" s="2757"/>
      <c r="Z70" s="2756"/>
      <c r="AA70" s="2765">
        <f>AA71+AA72</f>
        <v>0</v>
      </c>
      <c r="AB70" s="2756"/>
      <c r="AC70" s="2755">
        <f>AC71+AC72</f>
        <v>51600</v>
      </c>
      <c r="AD70" s="2756"/>
      <c r="AE70" s="2756"/>
      <c r="AF70" s="2765">
        <f>AF71+AF72</f>
        <v>0</v>
      </c>
      <c r="AG70" s="2756"/>
      <c r="AH70" s="2756"/>
      <c r="AI70" s="2756"/>
      <c r="AJ70" s="2756"/>
      <c r="AK70" s="2756"/>
      <c r="AL70" s="2756"/>
      <c r="AM70" s="2756"/>
      <c r="AN70" s="2756"/>
      <c r="AO70" s="2765">
        <f>AO71+AO72</f>
        <v>0</v>
      </c>
      <c r="AP70" s="2757"/>
      <c r="AQ70" s="2765">
        <f>AQ71+AQ72</f>
        <v>0</v>
      </c>
      <c r="AR70" s="2757"/>
      <c r="AS70" s="2685"/>
      <c r="AT70" s="2719"/>
      <c r="AU70" s="2719"/>
      <c r="AV70" s="2719"/>
      <c r="AW70" s="2719"/>
      <c r="AX70" s="2719"/>
      <c r="AY70" s="2719"/>
      <c r="AZ70" s="2719"/>
      <c r="BA70" s="2719"/>
      <c r="BB70" s="2719"/>
      <c r="BC70" s="2719"/>
      <c r="BD70" s="2719"/>
      <c r="BE70" s="2719"/>
      <c r="BF70" s="2719"/>
      <c r="BG70" s="2719"/>
      <c r="BH70" s="2719"/>
    </row>
    <row r="71" spans="1:60" s="2720" customFormat="1" ht="16.5" customHeight="1" x14ac:dyDescent="0.25">
      <c r="A71" s="2732" t="s">
        <v>23</v>
      </c>
      <c r="B71" s="2733" t="s">
        <v>1118</v>
      </c>
      <c r="C71" s="2761">
        <f>J71+K71</f>
        <v>0</v>
      </c>
      <c r="D71" s="2737"/>
      <c r="E71" s="2737"/>
      <c r="F71" s="2737"/>
      <c r="G71" s="2737"/>
      <c r="H71" s="2737"/>
      <c r="I71" s="2737"/>
      <c r="J71" s="2737"/>
      <c r="K71" s="2737"/>
      <c r="L71" s="2736">
        <f>M71+P71</f>
        <v>50000</v>
      </c>
      <c r="M71" s="2736">
        <f>N71+O71</f>
        <v>50000</v>
      </c>
      <c r="N71" s="2737"/>
      <c r="O71" s="2736">
        <v>50000</v>
      </c>
      <c r="P71" s="2761">
        <f>W71+X71</f>
        <v>0</v>
      </c>
      <c r="Q71" s="2737"/>
      <c r="R71" s="2737"/>
      <c r="S71" s="2736">
        <f>SUM(Z71:AC71)</f>
        <v>50000</v>
      </c>
      <c r="T71" s="2736"/>
      <c r="U71" s="2736"/>
      <c r="V71" s="2736"/>
      <c r="W71" s="2736"/>
      <c r="X71" s="2736"/>
      <c r="Y71" s="2736"/>
      <c r="Z71" s="2737"/>
      <c r="AA71" s="2737"/>
      <c r="AB71" s="2737"/>
      <c r="AC71" s="2736">
        <v>50000</v>
      </c>
      <c r="AD71" s="2736"/>
      <c r="AE71" s="2736"/>
      <c r="AF71" s="2736"/>
      <c r="AG71" s="2737"/>
      <c r="AH71" s="2737"/>
      <c r="AI71" s="2737"/>
      <c r="AJ71" s="2737"/>
      <c r="AK71" s="2737"/>
      <c r="AL71" s="2737"/>
      <c r="AM71" s="2737"/>
      <c r="AN71" s="2737"/>
      <c r="AO71" s="2737"/>
      <c r="AP71" s="2736"/>
      <c r="AQ71" s="2736"/>
      <c r="AR71" s="2736"/>
      <c r="AS71" s="2686"/>
      <c r="AT71" s="2719"/>
      <c r="AU71" s="2719"/>
      <c r="AV71" s="2719"/>
      <c r="AW71" s="2719"/>
      <c r="AX71" s="2719"/>
      <c r="AY71" s="2719"/>
      <c r="AZ71" s="2719"/>
      <c r="BA71" s="2719"/>
      <c r="BB71" s="2719"/>
      <c r="BC71" s="2719"/>
      <c r="BD71" s="2719"/>
      <c r="BE71" s="2719"/>
      <c r="BF71" s="2719"/>
      <c r="BG71" s="2719"/>
      <c r="BH71" s="2719"/>
    </row>
    <row r="72" spans="1:60" s="2720" customFormat="1" ht="16.5" customHeight="1" x14ac:dyDescent="0.25">
      <c r="A72" s="2732" t="s">
        <v>23</v>
      </c>
      <c r="B72" s="2733" t="s">
        <v>1119</v>
      </c>
      <c r="C72" s="2761">
        <f t="shared" ref="C72:C73" si="141">J72+K72</f>
        <v>0</v>
      </c>
      <c r="D72" s="2737"/>
      <c r="E72" s="2737"/>
      <c r="F72" s="2737"/>
      <c r="G72" s="2737"/>
      <c r="H72" s="2737"/>
      <c r="I72" s="2737"/>
      <c r="J72" s="2737"/>
      <c r="K72" s="2737"/>
      <c r="L72" s="2736">
        <f t="shared" ref="L72:L73" si="142">M72+P72</f>
        <v>1600</v>
      </c>
      <c r="M72" s="2736">
        <f t="shared" ref="M72:M73" si="143">N72+O72</f>
        <v>1600</v>
      </c>
      <c r="N72" s="2737"/>
      <c r="O72" s="2736">
        <v>1600</v>
      </c>
      <c r="P72" s="2761">
        <f t="shared" ref="P72:P73" si="144">W72+X72</f>
        <v>0</v>
      </c>
      <c r="Q72" s="2737"/>
      <c r="R72" s="2737"/>
      <c r="S72" s="2736">
        <f>SUM(Z72:AC72)</f>
        <v>1600</v>
      </c>
      <c r="T72" s="2736"/>
      <c r="U72" s="2736"/>
      <c r="V72" s="2736"/>
      <c r="W72" s="2736"/>
      <c r="X72" s="2736"/>
      <c r="Y72" s="2736"/>
      <c r="Z72" s="2737"/>
      <c r="AA72" s="2737"/>
      <c r="AB72" s="2737"/>
      <c r="AC72" s="2736">
        <v>1600</v>
      </c>
      <c r="AD72" s="2736"/>
      <c r="AE72" s="2736"/>
      <c r="AF72" s="2736"/>
      <c r="AG72" s="2737"/>
      <c r="AH72" s="2737"/>
      <c r="AI72" s="2737"/>
      <c r="AJ72" s="2737"/>
      <c r="AK72" s="2737"/>
      <c r="AL72" s="2737"/>
      <c r="AM72" s="2737"/>
      <c r="AN72" s="2737"/>
      <c r="AO72" s="2737"/>
      <c r="AP72" s="2736"/>
      <c r="AQ72" s="2736"/>
      <c r="AR72" s="2736"/>
      <c r="AS72" s="2686"/>
      <c r="AT72" s="2719"/>
      <c r="AU72" s="2719"/>
      <c r="AV72" s="2719"/>
      <c r="AW72" s="2719"/>
      <c r="AX72" s="2719"/>
      <c r="AY72" s="2719"/>
      <c r="AZ72" s="2719"/>
      <c r="BA72" s="2719"/>
      <c r="BB72" s="2719"/>
      <c r="BC72" s="2719"/>
      <c r="BD72" s="2719"/>
      <c r="BE72" s="2719"/>
      <c r="BF72" s="2719"/>
      <c r="BG72" s="2719"/>
      <c r="BH72" s="2719"/>
    </row>
    <row r="73" spans="1:60" s="2720" customFormat="1" ht="16.5" hidden="1" customHeight="1" x14ac:dyDescent="0.25">
      <c r="A73" s="2732" t="s">
        <v>23</v>
      </c>
      <c r="B73" s="2733" t="s">
        <v>502</v>
      </c>
      <c r="C73" s="2761">
        <f t="shared" si="141"/>
        <v>0</v>
      </c>
      <c r="D73" s="2737"/>
      <c r="E73" s="2737"/>
      <c r="F73" s="2737"/>
      <c r="G73" s="2737"/>
      <c r="H73" s="2737"/>
      <c r="I73" s="2737"/>
      <c r="J73" s="2737"/>
      <c r="K73" s="2737"/>
      <c r="L73" s="2736">
        <f t="shared" si="142"/>
        <v>0</v>
      </c>
      <c r="M73" s="2737">
        <f t="shared" si="143"/>
        <v>0</v>
      </c>
      <c r="N73" s="2737"/>
      <c r="O73" s="2736"/>
      <c r="P73" s="2761">
        <f t="shared" si="144"/>
        <v>0</v>
      </c>
      <c r="Q73" s="2752"/>
      <c r="R73" s="2752"/>
      <c r="S73" s="2759"/>
      <c r="T73" s="2759"/>
      <c r="U73" s="2759"/>
      <c r="V73" s="2759"/>
      <c r="W73" s="2759"/>
      <c r="X73" s="2759"/>
      <c r="Y73" s="2759"/>
      <c r="Z73" s="2752"/>
      <c r="AA73" s="2752"/>
      <c r="AB73" s="2752"/>
      <c r="AC73" s="2759"/>
      <c r="AD73" s="2759"/>
      <c r="AE73" s="2759"/>
      <c r="AF73" s="2759"/>
      <c r="AG73" s="2752"/>
      <c r="AH73" s="2752"/>
      <c r="AI73" s="2752"/>
      <c r="AJ73" s="2752"/>
      <c r="AK73" s="2752"/>
      <c r="AL73" s="2752"/>
      <c r="AM73" s="2752"/>
      <c r="AN73" s="2752"/>
      <c r="AO73" s="2752"/>
      <c r="AP73" s="2759"/>
      <c r="AQ73" s="2759"/>
      <c r="AR73" s="2759"/>
      <c r="AS73" s="2686"/>
      <c r="AT73" s="2719"/>
      <c r="AU73" s="2719"/>
      <c r="AV73" s="2719"/>
      <c r="AW73" s="2719"/>
      <c r="AX73" s="2719"/>
      <c r="AY73" s="2719"/>
      <c r="AZ73" s="2719"/>
      <c r="BA73" s="2719"/>
      <c r="BB73" s="2719"/>
      <c r="BC73" s="2719"/>
      <c r="BD73" s="2719"/>
      <c r="BE73" s="2719"/>
      <c r="BF73" s="2719"/>
      <c r="BG73" s="2719"/>
      <c r="BH73" s="2719"/>
    </row>
    <row r="74" spans="1:60" s="2720" customFormat="1" ht="49.5" customHeight="1" x14ac:dyDescent="0.25">
      <c r="A74" s="2748">
        <v>5</v>
      </c>
      <c r="B74" s="2749" t="s">
        <v>1396</v>
      </c>
      <c r="C74" s="2751">
        <f>SUM(C75:C77)</f>
        <v>0</v>
      </c>
      <c r="D74" s="2751">
        <f t="shared" ref="D74" si="145">SUM(D75:D77)</f>
        <v>0</v>
      </c>
      <c r="E74" s="2751">
        <f t="shared" ref="E74" si="146">SUM(E75:E77)</f>
        <v>0</v>
      </c>
      <c r="F74" s="2751">
        <f t="shared" ref="F74" si="147">SUM(F75:F77)</f>
        <v>0</v>
      </c>
      <c r="G74" s="2751">
        <f t="shared" ref="G74" si="148">SUM(G75:G77)</f>
        <v>0</v>
      </c>
      <c r="H74" s="2751">
        <f t="shared" ref="H74" si="149">SUM(H75:H77)</f>
        <v>0</v>
      </c>
      <c r="I74" s="2751">
        <f t="shared" ref="I74" si="150">SUM(I75:I77)</f>
        <v>0</v>
      </c>
      <c r="J74" s="2751">
        <f t="shared" ref="J74" si="151">SUM(J75:J77)</f>
        <v>0</v>
      </c>
      <c r="K74" s="2751">
        <f>SUM(K75:K77)</f>
        <v>0</v>
      </c>
      <c r="L74" s="2750">
        <f>SUM(L75:L77)</f>
        <v>278000</v>
      </c>
      <c r="M74" s="2750">
        <f>SUM(M75:M77)</f>
        <v>278000</v>
      </c>
      <c r="N74" s="2751">
        <f t="shared" ref="N74" si="152">SUM(N75:N77)</f>
        <v>0</v>
      </c>
      <c r="O74" s="2751">
        <f t="shared" ref="O74" si="153">SUM(O75:O77)</f>
        <v>278000</v>
      </c>
      <c r="P74" s="2751">
        <f>SUM(P75:P77)</f>
        <v>0</v>
      </c>
      <c r="Q74" s="2751">
        <f t="shared" ref="Q74" si="154">SUM(Q75:Q77)</f>
        <v>0</v>
      </c>
      <c r="R74" s="2751">
        <f t="shared" ref="R74" si="155">SUM(R75:R77)</f>
        <v>0</v>
      </c>
      <c r="S74" s="2751">
        <f t="shared" ref="S74" si="156">SUM(S75:S77)</f>
        <v>208063.3</v>
      </c>
      <c r="T74" s="2751">
        <f t="shared" ref="T74" si="157">SUM(T75:T77)</f>
        <v>0</v>
      </c>
      <c r="U74" s="2751">
        <f t="shared" ref="U74" si="158">SUM(U75:U77)</f>
        <v>0</v>
      </c>
      <c r="V74" s="2751">
        <f t="shared" ref="V74" si="159">SUM(V75:V77)</f>
        <v>0</v>
      </c>
      <c r="W74" s="2751">
        <f t="shared" ref="W74" si="160">SUM(W75:W77)</f>
        <v>0</v>
      </c>
      <c r="X74" s="2751">
        <f t="shared" ref="X74" si="161">SUM(X75:X77)</f>
        <v>0</v>
      </c>
      <c r="Y74" s="2751">
        <f t="shared" ref="Y74" si="162">SUM(Y75:Y77)</f>
        <v>0</v>
      </c>
      <c r="Z74" s="2751">
        <f t="shared" ref="Z74" si="163">SUM(Z75:Z77)</f>
        <v>0</v>
      </c>
      <c r="AA74" s="2751">
        <f t="shared" ref="AA74" si="164">SUM(AA75:AA77)</f>
        <v>0</v>
      </c>
      <c r="AB74" s="2751">
        <f t="shared" ref="AB74" si="165">SUM(AB75:AB77)</f>
        <v>0</v>
      </c>
      <c r="AC74" s="2751">
        <f t="shared" ref="AC74" si="166">SUM(AC75:AC77)</f>
        <v>208063.3</v>
      </c>
      <c r="AD74" s="2751">
        <f t="shared" ref="AD74" si="167">SUM(AD75:AD77)</f>
        <v>0</v>
      </c>
      <c r="AE74" s="2751">
        <f t="shared" ref="AE74" si="168">SUM(AE75:AE77)</f>
        <v>0</v>
      </c>
      <c r="AF74" s="2750">
        <f t="shared" ref="AF74" si="169">SUM(AF75:AF77)</f>
        <v>69936.7</v>
      </c>
      <c r="AG74" s="2751">
        <f t="shared" ref="AG74" si="170">SUM(AG75:AG77)</f>
        <v>0</v>
      </c>
      <c r="AH74" s="2751">
        <f t="shared" ref="AH74" si="171">SUM(AH75:AH77)</f>
        <v>0</v>
      </c>
      <c r="AI74" s="2751">
        <f t="shared" ref="AI74" si="172">SUM(AI75:AI77)</f>
        <v>0</v>
      </c>
      <c r="AJ74" s="2751">
        <f t="shared" ref="AJ74" si="173">SUM(AJ75:AJ77)</f>
        <v>0</v>
      </c>
      <c r="AK74" s="2751">
        <f t="shared" ref="AK74" si="174">SUM(AK75:AK77)</f>
        <v>0</v>
      </c>
      <c r="AL74" s="2751">
        <f t="shared" ref="AL74" si="175">SUM(AL75:AL77)</f>
        <v>0</v>
      </c>
      <c r="AM74" s="2751">
        <f t="shared" ref="AM74" si="176">SUM(AM75:AM77)</f>
        <v>0</v>
      </c>
      <c r="AN74" s="2751">
        <f t="shared" ref="AN74" si="177">SUM(AN75:AN77)</f>
        <v>0</v>
      </c>
      <c r="AO74" s="2751">
        <f t="shared" ref="AO74" si="178">SUM(AO75:AO77)</f>
        <v>0</v>
      </c>
      <c r="AP74" s="2751">
        <f t="shared" ref="AP74" si="179">SUM(AP75:AP77)</f>
        <v>0</v>
      </c>
      <c r="AQ74" s="2751">
        <f t="shared" ref="AQ74" si="180">SUM(AQ75:AQ77)</f>
        <v>0</v>
      </c>
      <c r="AR74" s="2751">
        <f t="shared" ref="AR74" si="181">SUM(AR75:AR77)</f>
        <v>0</v>
      </c>
      <c r="AS74" s="2686"/>
      <c r="AT74" s="2719"/>
      <c r="AU74" s="2719"/>
      <c r="AV74" s="2719"/>
      <c r="AW74" s="2719"/>
      <c r="AX74" s="2719"/>
      <c r="AY74" s="2719"/>
      <c r="AZ74" s="2719"/>
      <c r="BA74" s="2719"/>
      <c r="BB74" s="2719"/>
      <c r="BC74" s="2719"/>
      <c r="BD74" s="2719"/>
      <c r="BE74" s="2719"/>
      <c r="BF74" s="2719"/>
      <c r="BG74" s="2719"/>
      <c r="BH74" s="2719"/>
    </row>
    <row r="75" spans="1:60" s="2720" customFormat="1" ht="16.5" customHeight="1" x14ac:dyDescent="0.25">
      <c r="A75" s="2732" t="s">
        <v>23</v>
      </c>
      <c r="B75" s="2733" t="s">
        <v>1118</v>
      </c>
      <c r="C75" s="2761">
        <f>J75+K75</f>
        <v>0</v>
      </c>
      <c r="D75" s="2737"/>
      <c r="E75" s="2737"/>
      <c r="F75" s="2737"/>
      <c r="G75" s="2737"/>
      <c r="H75" s="2737"/>
      <c r="I75" s="2737"/>
      <c r="J75" s="2737">
        <f t="shared" ref="J75:K77" si="182">J79+J83</f>
        <v>0</v>
      </c>
      <c r="K75" s="2737">
        <f t="shared" si="182"/>
        <v>0</v>
      </c>
      <c r="L75" s="2736">
        <f>M75+P75</f>
        <v>271000</v>
      </c>
      <c r="M75" s="2736">
        <f>N75+O75</f>
        <v>271000</v>
      </c>
      <c r="N75" s="2737">
        <f t="shared" ref="N75:O77" si="183">N79+N83</f>
        <v>0</v>
      </c>
      <c r="O75" s="2736">
        <f t="shared" si="183"/>
        <v>271000</v>
      </c>
      <c r="P75" s="2761">
        <f>W75+X75</f>
        <v>0</v>
      </c>
      <c r="Q75" s="2737">
        <f t="shared" ref="Q75:S77" si="184">Q79+Q83</f>
        <v>0</v>
      </c>
      <c r="R75" s="2737">
        <f t="shared" si="184"/>
        <v>0</v>
      </c>
      <c r="S75" s="2736">
        <f t="shared" si="184"/>
        <v>203063.3</v>
      </c>
      <c r="T75" s="2736"/>
      <c r="U75" s="2736"/>
      <c r="V75" s="2736"/>
      <c r="W75" s="2736"/>
      <c r="X75" s="2736"/>
      <c r="Y75" s="2736"/>
      <c r="Z75" s="2737">
        <f t="shared" ref="Z75:AC77" si="185">Z79+Z83</f>
        <v>0</v>
      </c>
      <c r="AA75" s="2737">
        <f t="shared" si="185"/>
        <v>0</v>
      </c>
      <c r="AB75" s="2737">
        <f t="shared" si="185"/>
        <v>0</v>
      </c>
      <c r="AC75" s="2736">
        <f t="shared" si="185"/>
        <v>203063.3</v>
      </c>
      <c r="AD75" s="2737"/>
      <c r="AE75" s="2737">
        <f t="shared" ref="AE75:AF77" si="186">AE79+AE83</f>
        <v>0</v>
      </c>
      <c r="AF75" s="2736">
        <f t="shared" si="186"/>
        <v>67936.7</v>
      </c>
      <c r="AG75" s="2737"/>
      <c r="AH75" s="2737"/>
      <c r="AI75" s="2737"/>
      <c r="AJ75" s="2737"/>
      <c r="AK75" s="2737"/>
      <c r="AL75" s="2737"/>
      <c r="AM75" s="2737"/>
      <c r="AN75" s="2737">
        <f t="shared" ref="AN75:AR77" si="187">AN79+AN83</f>
        <v>0</v>
      </c>
      <c r="AO75" s="2737">
        <f t="shared" si="187"/>
        <v>0</v>
      </c>
      <c r="AP75" s="2737">
        <f t="shared" si="187"/>
        <v>0</v>
      </c>
      <c r="AQ75" s="2737">
        <f t="shared" si="187"/>
        <v>0</v>
      </c>
      <c r="AR75" s="2737">
        <f t="shared" si="187"/>
        <v>0</v>
      </c>
      <c r="AS75" s="2686"/>
      <c r="AT75" s="2719"/>
      <c r="AU75" s="2719"/>
      <c r="AV75" s="2719"/>
      <c r="AW75" s="2719"/>
      <c r="AX75" s="2719"/>
      <c r="AY75" s="2719"/>
      <c r="AZ75" s="2719"/>
      <c r="BA75" s="2719"/>
      <c r="BB75" s="2719"/>
      <c r="BC75" s="2719"/>
      <c r="BD75" s="2719"/>
      <c r="BE75" s="2719"/>
      <c r="BF75" s="2719"/>
      <c r="BG75" s="2719"/>
      <c r="BH75" s="2719"/>
    </row>
    <row r="76" spans="1:60" s="2720" customFormat="1" ht="16.5" customHeight="1" x14ac:dyDescent="0.25">
      <c r="A76" s="2732" t="s">
        <v>23</v>
      </c>
      <c r="B76" s="2733" t="s">
        <v>1119</v>
      </c>
      <c r="C76" s="2761">
        <f t="shared" ref="C76" si="188">J76+K76</f>
        <v>0</v>
      </c>
      <c r="D76" s="2737"/>
      <c r="E76" s="2737"/>
      <c r="F76" s="2737"/>
      <c r="G76" s="2737"/>
      <c r="H76" s="2737"/>
      <c r="I76" s="2737"/>
      <c r="J76" s="2737">
        <f t="shared" si="182"/>
        <v>0</v>
      </c>
      <c r="K76" s="2737">
        <f t="shared" si="182"/>
        <v>0</v>
      </c>
      <c r="L76" s="2736">
        <f>M76+P76</f>
        <v>7000</v>
      </c>
      <c r="M76" s="2736">
        <f t="shared" ref="M76:M77" si="189">N76+O76</f>
        <v>7000</v>
      </c>
      <c r="N76" s="2737">
        <f t="shared" si="183"/>
        <v>0</v>
      </c>
      <c r="O76" s="2736">
        <f t="shared" si="183"/>
        <v>7000</v>
      </c>
      <c r="P76" s="2761">
        <f t="shared" ref="P76:P77" si="190">W76+X76</f>
        <v>0</v>
      </c>
      <c r="Q76" s="2737">
        <f t="shared" si="184"/>
        <v>0</v>
      </c>
      <c r="R76" s="2737">
        <f t="shared" si="184"/>
        <v>0</v>
      </c>
      <c r="S76" s="2736">
        <f t="shared" si="184"/>
        <v>5000</v>
      </c>
      <c r="T76" s="2736"/>
      <c r="U76" s="2736"/>
      <c r="V76" s="2736"/>
      <c r="W76" s="2736"/>
      <c r="X76" s="2736"/>
      <c r="Y76" s="2736"/>
      <c r="Z76" s="2737">
        <f t="shared" si="185"/>
        <v>0</v>
      </c>
      <c r="AA76" s="2737">
        <f t="shared" si="185"/>
        <v>0</v>
      </c>
      <c r="AB76" s="2737">
        <f t="shared" si="185"/>
        <v>0</v>
      </c>
      <c r="AC76" s="2736">
        <f t="shared" si="185"/>
        <v>5000</v>
      </c>
      <c r="AD76" s="2737"/>
      <c r="AE76" s="2737">
        <f t="shared" si="186"/>
        <v>0</v>
      </c>
      <c r="AF76" s="2736">
        <f t="shared" si="186"/>
        <v>2000</v>
      </c>
      <c r="AG76" s="2737"/>
      <c r="AH76" s="2737"/>
      <c r="AI76" s="2737"/>
      <c r="AJ76" s="2737"/>
      <c r="AK76" s="2737"/>
      <c r="AL76" s="2737"/>
      <c r="AM76" s="2737"/>
      <c r="AN76" s="2737">
        <f t="shared" si="187"/>
        <v>0</v>
      </c>
      <c r="AO76" s="2737">
        <f t="shared" si="187"/>
        <v>0</v>
      </c>
      <c r="AP76" s="2737">
        <f t="shared" si="187"/>
        <v>0</v>
      </c>
      <c r="AQ76" s="2737">
        <f t="shared" si="187"/>
        <v>0</v>
      </c>
      <c r="AR76" s="2737">
        <f t="shared" si="187"/>
        <v>0</v>
      </c>
      <c r="AS76" s="2686"/>
      <c r="AT76" s="2719"/>
      <c r="AU76" s="2719"/>
      <c r="AV76" s="2719"/>
      <c r="AW76" s="2719"/>
      <c r="AX76" s="2719"/>
      <c r="AY76" s="2719"/>
      <c r="AZ76" s="2719"/>
      <c r="BA76" s="2719"/>
      <c r="BB76" s="2719"/>
      <c r="BC76" s="2719"/>
      <c r="BD76" s="2719"/>
      <c r="BE76" s="2719"/>
      <c r="BF76" s="2719"/>
      <c r="BG76" s="2719"/>
      <c r="BH76" s="2719"/>
    </row>
    <row r="77" spans="1:60" s="2720" customFormat="1" ht="16.5" hidden="1" customHeight="1" x14ac:dyDescent="0.25">
      <c r="A77" s="2732" t="s">
        <v>23</v>
      </c>
      <c r="B77" s="2733" t="s">
        <v>502</v>
      </c>
      <c r="C77" s="2761">
        <f>J77+K77</f>
        <v>0</v>
      </c>
      <c r="D77" s="2737"/>
      <c r="E77" s="2737"/>
      <c r="F77" s="2737"/>
      <c r="G77" s="2737"/>
      <c r="H77" s="2737"/>
      <c r="I77" s="2737"/>
      <c r="J77" s="2737">
        <f t="shared" si="182"/>
        <v>0</v>
      </c>
      <c r="K77" s="2737">
        <f t="shared" si="182"/>
        <v>0</v>
      </c>
      <c r="L77" s="2736">
        <f t="shared" ref="L77" si="191">M77+P77</f>
        <v>0</v>
      </c>
      <c r="M77" s="2736">
        <f t="shared" si="189"/>
        <v>0</v>
      </c>
      <c r="N77" s="2737">
        <f t="shared" si="183"/>
        <v>0</v>
      </c>
      <c r="O77" s="2736">
        <f t="shared" si="183"/>
        <v>0</v>
      </c>
      <c r="P77" s="2761">
        <f t="shared" si="190"/>
        <v>0</v>
      </c>
      <c r="Q77" s="2737">
        <f t="shared" si="184"/>
        <v>0</v>
      </c>
      <c r="R77" s="2737">
        <f t="shared" si="184"/>
        <v>0</v>
      </c>
      <c r="S77" s="2736">
        <f t="shared" si="184"/>
        <v>0</v>
      </c>
      <c r="T77" s="2736"/>
      <c r="U77" s="2736"/>
      <c r="V77" s="2736"/>
      <c r="W77" s="2736"/>
      <c r="X77" s="2736"/>
      <c r="Y77" s="2736"/>
      <c r="Z77" s="2737">
        <f t="shared" si="185"/>
        <v>0</v>
      </c>
      <c r="AA77" s="2737">
        <f t="shared" si="185"/>
        <v>0</v>
      </c>
      <c r="AB77" s="2737">
        <f t="shared" si="185"/>
        <v>0</v>
      </c>
      <c r="AC77" s="2736">
        <f t="shared" si="185"/>
        <v>0</v>
      </c>
      <c r="AD77" s="2737"/>
      <c r="AE77" s="2737">
        <f t="shared" si="186"/>
        <v>0</v>
      </c>
      <c r="AF77" s="2737">
        <f t="shared" si="186"/>
        <v>0</v>
      </c>
      <c r="AG77" s="2737"/>
      <c r="AH77" s="2737"/>
      <c r="AI77" s="2737"/>
      <c r="AJ77" s="2737"/>
      <c r="AK77" s="2737"/>
      <c r="AL77" s="2737"/>
      <c r="AM77" s="2737"/>
      <c r="AN77" s="2737">
        <f t="shared" si="187"/>
        <v>0</v>
      </c>
      <c r="AO77" s="2737">
        <f t="shared" si="187"/>
        <v>0</v>
      </c>
      <c r="AP77" s="2737">
        <f t="shared" si="187"/>
        <v>0</v>
      </c>
      <c r="AQ77" s="2737">
        <f t="shared" si="187"/>
        <v>0</v>
      </c>
      <c r="AR77" s="2737">
        <f t="shared" si="187"/>
        <v>0</v>
      </c>
      <c r="AS77" s="2686"/>
      <c r="AT77" s="2719"/>
      <c r="AU77" s="2719"/>
      <c r="AV77" s="2719"/>
      <c r="AW77" s="2719"/>
      <c r="AX77" s="2719"/>
      <c r="AY77" s="2719"/>
      <c r="AZ77" s="2719"/>
      <c r="BA77" s="2719"/>
      <c r="BB77" s="2719"/>
      <c r="BC77" s="2719"/>
      <c r="BD77" s="2719"/>
      <c r="BE77" s="2719"/>
      <c r="BF77" s="2719"/>
      <c r="BG77" s="2719"/>
      <c r="BH77" s="2719"/>
    </row>
    <row r="78" spans="1:60" s="2720" customFormat="1" ht="35.25" customHeight="1" x14ac:dyDescent="0.25">
      <c r="A78" s="2760" t="s">
        <v>1011</v>
      </c>
      <c r="B78" s="2754" t="s">
        <v>2096</v>
      </c>
      <c r="C78" s="2765">
        <f>SUM(C79:C81)</f>
        <v>0</v>
      </c>
      <c r="D78" s="2756"/>
      <c r="E78" s="2756"/>
      <c r="F78" s="2756"/>
      <c r="G78" s="2756"/>
      <c r="H78" s="2756"/>
      <c r="I78" s="2756"/>
      <c r="J78" s="2756"/>
      <c r="K78" s="2756"/>
      <c r="L78" s="2755">
        <f>SUM(L79:L81)</f>
        <v>182000</v>
      </c>
      <c r="M78" s="2755">
        <f>SUM(M79:M81)</f>
        <v>182000</v>
      </c>
      <c r="N78" s="2756"/>
      <c r="O78" s="2755">
        <f>SUM(O79:O81)</f>
        <v>182000</v>
      </c>
      <c r="P78" s="2765">
        <f>SUM(P79:P81)</f>
        <v>0</v>
      </c>
      <c r="Q78" s="2756"/>
      <c r="R78" s="2756"/>
      <c r="S78" s="2755">
        <f>S79+S80</f>
        <v>182000</v>
      </c>
      <c r="T78" s="2757"/>
      <c r="U78" s="2757"/>
      <c r="V78" s="2757"/>
      <c r="W78" s="2757"/>
      <c r="X78" s="2757"/>
      <c r="Y78" s="2757"/>
      <c r="Z78" s="2756"/>
      <c r="AA78" s="2765">
        <f>AA79+AA80</f>
        <v>0</v>
      </c>
      <c r="AB78" s="2756"/>
      <c r="AC78" s="2755">
        <f>AC79+AC80</f>
        <v>182000</v>
      </c>
      <c r="AD78" s="2756"/>
      <c r="AE78" s="2756"/>
      <c r="AF78" s="2765">
        <f>AF79+AF80</f>
        <v>0</v>
      </c>
      <c r="AG78" s="2756"/>
      <c r="AH78" s="2756"/>
      <c r="AI78" s="2756"/>
      <c r="AJ78" s="2756"/>
      <c r="AK78" s="2756"/>
      <c r="AL78" s="2756"/>
      <c r="AM78" s="2756"/>
      <c r="AN78" s="2756"/>
      <c r="AO78" s="2765">
        <f>AO79+AO80</f>
        <v>0</v>
      </c>
      <c r="AP78" s="2756"/>
      <c r="AQ78" s="2765">
        <f>AQ79+AQ80</f>
        <v>0</v>
      </c>
      <c r="AR78" s="2765">
        <f>AR79+AR80</f>
        <v>0</v>
      </c>
      <c r="AS78" s="2685"/>
      <c r="AT78" s="2719"/>
      <c r="AU78" s="2719"/>
      <c r="AV78" s="2719"/>
      <c r="AW78" s="2719"/>
      <c r="AX78" s="2719"/>
      <c r="AY78" s="2719"/>
      <c r="AZ78" s="2719"/>
      <c r="BA78" s="2719"/>
      <c r="BB78" s="2719"/>
      <c r="BC78" s="2719"/>
      <c r="BD78" s="2719"/>
      <c r="BE78" s="2719"/>
      <c r="BF78" s="2719"/>
      <c r="BG78" s="2719"/>
      <c r="BH78" s="2719"/>
    </row>
    <row r="79" spans="1:60" s="2720" customFormat="1" ht="16.5" customHeight="1" x14ac:dyDescent="0.25">
      <c r="A79" s="2732" t="s">
        <v>23</v>
      </c>
      <c r="B79" s="2733" t="s">
        <v>1118</v>
      </c>
      <c r="C79" s="2761">
        <f>J79+K79</f>
        <v>0</v>
      </c>
      <c r="D79" s="2737"/>
      <c r="E79" s="2737"/>
      <c r="F79" s="2737"/>
      <c r="G79" s="2737"/>
      <c r="H79" s="2737"/>
      <c r="I79" s="2737"/>
      <c r="J79" s="2737"/>
      <c r="K79" s="2737"/>
      <c r="L79" s="2736">
        <f>M79+P79</f>
        <v>177000</v>
      </c>
      <c r="M79" s="2736">
        <f>N79+O79</f>
        <v>177000</v>
      </c>
      <c r="N79" s="2737"/>
      <c r="O79" s="2736">
        <v>177000</v>
      </c>
      <c r="P79" s="2761">
        <f>W79+X79</f>
        <v>0</v>
      </c>
      <c r="Q79" s="2737"/>
      <c r="R79" s="2737"/>
      <c r="S79" s="2736">
        <f>SUM(Z79:AC79)</f>
        <v>177000</v>
      </c>
      <c r="T79" s="2736"/>
      <c r="U79" s="2736"/>
      <c r="V79" s="2736"/>
      <c r="W79" s="2736"/>
      <c r="X79" s="2736"/>
      <c r="Y79" s="2736"/>
      <c r="Z79" s="2737"/>
      <c r="AA79" s="2737"/>
      <c r="AB79" s="2737"/>
      <c r="AC79" s="2736">
        <v>177000</v>
      </c>
      <c r="AD79" s="2737"/>
      <c r="AE79" s="2737"/>
      <c r="AF79" s="2767"/>
      <c r="AG79" s="2737"/>
      <c r="AH79" s="2737"/>
      <c r="AI79" s="2737"/>
      <c r="AJ79" s="2737"/>
      <c r="AK79" s="2737"/>
      <c r="AL79" s="2737"/>
      <c r="AM79" s="2737"/>
      <c r="AN79" s="2737"/>
      <c r="AO79" s="2737"/>
      <c r="AP79" s="2737"/>
      <c r="AQ79" s="2737">
        <f>AR79+AS79</f>
        <v>0</v>
      </c>
      <c r="AR79" s="2737">
        <f>M79-S79</f>
        <v>0</v>
      </c>
      <c r="AS79" s="2686"/>
      <c r="AT79" s="2719"/>
      <c r="AU79" s="2719"/>
      <c r="AV79" s="2719"/>
      <c r="AW79" s="2719"/>
      <c r="AX79" s="2719"/>
      <c r="AY79" s="2719"/>
      <c r="AZ79" s="2719"/>
      <c r="BA79" s="2719"/>
      <c r="BB79" s="2719"/>
      <c r="BC79" s="2719"/>
      <c r="BD79" s="2719"/>
      <c r="BE79" s="2719"/>
      <c r="BF79" s="2719"/>
      <c r="BG79" s="2719"/>
      <c r="BH79" s="2719"/>
    </row>
    <row r="80" spans="1:60" s="2720" customFormat="1" ht="16.5" customHeight="1" x14ac:dyDescent="0.25">
      <c r="A80" s="2732" t="s">
        <v>23</v>
      </c>
      <c r="B80" s="2733" t="s">
        <v>1119</v>
      </c>
      <c r="C80" s="2761">
        <f t="shared" ref="C80:C81" si="192">J80+K80</f>
        <v>0</v>
      </c>
      <c r="D80" s="2737"/>
      <c r="E80" s="2737"/>
      <c r="F80" s="2737"/>
      <c r="G80" s="2737"/>
      <c r="H80" s="2737"/>
      <c r="I80" s="2737"/>
      <c r="J80" s="2737"/>
      <c r="K80" s="2737"/>
      <c r="L80" s="2736">
        <f t="shared" ref="L80:L81" si="193">M80+P80</f>
        <v>5000</v>
      </c>
      <c r="M80" s="2736">
        <f t="shared" ref="M80:M81" si="194">N80+O80</f>
        <v>5000</v>
      </c>
      <c r="N80" s="2737"/>
      <c r="O80" s="2736">
        <v>5000</v>
      </c>
      <c r="P80" s="2761">
        <f t="shared" ref="P80:P81" si="195">W80+X80</f>
        <v>0</v>
      </c>
      <c r="Q80" s="2737"/>
      <c r="R80" s="2737"/>
      <c r="S80" s="2736">
        <f>SUM(Z80:AC80)</f>
        <v>5000</v>
      </c>
      <c r="T80" s="2736"/>
      <c r="U80" s="2736"/>
      <c r="V80" s="2736"/>
      <c r="W80" s="2736"/>
      <c r="X80" s="2736"/>
      <c r="Y80" s="2736"/>
      <c r="Z80" s="2737"/>
      <c r="AA80" s="2737"/>
      <c r="AB80" s="2737"/>
      <c r="AC80" s="2736">
        <v>5000</v>
      </c>
      <c r="AD80" s="2737"/>
      <c r="AE80" s="2737"/>
      <c r="AF80" s="2767"/>
      <c r="AG80" s="2737"/>
      <c r="AH80" s="2737"/>
      <c r="AI80" s="2737"/>
      <c r="AJ80" s="2737"/>
      <c r="AK80" s="2737"/>
      <c r="AL80" s="2737"/>
      <c r="AM80" s="2737"/>
      <c r="AN80" s="2737"/>
      <c r="AO80" s="2737"/>
      <c r="AP80" s="2737"/>
      <c r="AQ80" s="2737">
        <f>AR80+AS80</f>
        <v>0</v>
      </c>
      <c r="AR80" s="2737">
        <f>M80-S80</f>
        <v>0</v>
      </c>
      <c r="AS80" s="2686"/>
      <c r="AT80" s="2719"/>
      <c r="AU80" s="2719"/>
      <c r="AV80" s="2719"/>
      <c r="AW80" s="2719"/>
      <c r="AX80" s="2719"/>
      <c r="AY80" s="2719"/>
      <c r="AZ80" s="2719"/>
      <c r="BA80" s="2719"/>
      <c r="BB80" s="2719"/>
      <c r="BC80" s="2719"/>
      <c r="BD80" s="2719"/>
      <c r="BE80" s="2719"/>
      <c r="BF80" s="2719"/>
      <c r="BG80" s="2719"/>
      <c r="BH80" s="2719"/>
    </row>
    <row r="81" spans="1:60" s="2720" customFormat="1" ht="16.5" hidden="1" customHeight="1" x14ac:dyDescent="0.25">
      <c r="A81" s="2732" t="s">
        <v>23</v>
      </c>
      <c r="B81" s="2733" t="s">
        <v>502</v>
      </c>
      <c r="C81" s="2761">
        <f t="shared" si="192"/>
        <v>0</v>
      </c>
      <c r="D81" s="2737"/>
      <c r="E81" s="2737"/>
      <c r="F81" s="2737"/>
      <c r="G81" s="2737"/>
      <c r="H81" s="2737"/>
      <c r="I81" s="2737"/>
      <c r="J81" s="2737"/>
      <c r="K81" s="2737"/>
      <c r="L81" s="2736">
        <f t="shared" si="193"/>
        <v>0</v>
      </c>
      <c r="M81" s="2736">
        <f t="shared" si="194"/>
        <v>0</v>
      </c>
      <c r="N81" s="2737"/>
      <c r="O81" s="2736"/>
      <c r="P81" s="2761">
        <f t="shared" si="195"/>
        <v>0</v>
      </c>
      <c r="Q81" s="2737"/>
      <c r="R81" s="2737"/>
      <c r="S81" s="2736"/>
      <c r="T81" s="2736"/>
      <c r="U81" s="2736"/>
      <c r="V81" s="2736"/>
      <c r="W81" s="2736"/>
      <c r="X81" s="2736"/>
      <c r="Y81" s="2736"/>
      <c r="Z81" s="2737"/>
      <c r="AA81" s="2737"/>
      <c r="AB81" s="2737"/>
      <c r="AC81" s="2736"/>
      <c r="AD81" s="2737"/>
      <c r="AE81" s="2737"/>
      <c r="AF81" s="2767"/>
      <c r="AG81" s="2737"/>
      <c r="AH81" s="2737"/>
      <c r="AI81" s="2737"/>
      <c r="AJ81" s="2737"/>
      <c r="AK81" s="2737"/>
      <c r="AL81" s="2737"/>
      <c r="AM81" s="2737"/>
      <c r="AN81" s="2737"/>
      <c r="AO81" s="2737"/>
      <c r="AP81" s="2737"/>
      <c r="AQ81" s="2737"/>
      <c r="AR81" s="2737"/>
      <c r="AS81" s="2686"/>
      <c r="AT81" s="2719"/>
      <c r="AU81" s="2719"/>
      <c r="AV81" s="2719"/>
      <c r="AW81" s="2719"/>
      <c r="AX81" s="2719"/>
      <c r="AY81" s="2719"/>
      <c r="AZ81" s="2719"/>
      <c r="BA81" s="2719"/>
      <c r="BB81" s="2719"/>
      <c r="BC81" s="2719"/>
      <c r="BD81" s="2719"/>
      <c r="BE81" s="2719"/>
      <c r="BF81" s="2719"/>
      <c r="BG81" s="2719"/>
      <c r="BH81" s="2719"/>
    </row>
    <row r="82" spans="1:60" s="2720" customFormat="1" ht="16.5" customHeight="1" x14ac:dyDescent="0.25">
      <c r="A82" s="2753" t="s">
        <v>1013</v>
      </c>
      <c r="B82" s="2754" t="s">
        <v>2097</v>
      </c>
      <c r="C82" s="2765">
        <f>SUM(C83:C85)</f>
        <v>0</v>
      </c>
      <c r="D82" s="2756"/>
      <c r="E82" s="2756"/>
      <c r="F82" s="2756"/>
      <c r="G82" s="2756"/>
      <c r="H82" s="2756"/>
      <c r="I82" s="2756"/>
      <c r="J82" s="2756"/>
      <c r="K82" s="2756"/>
      <c r="L82" s="2755">
        <f>SUM(L83:L85)</f>
        <v>96000</v>
      </c>
      <c r="M82" s="2755">
        <f>SUM(M83:M85)</f>
        <v>96000</v>
      </c>
      <c r="N82" s="2756"/>
      <c r="O82" s="2755">
        <f>SUM(O83:O85)</f>
        <v>96000</v>
      </c>
      <c r="P82" s="2765">
        <f>SUM(P83:P85)</f>
        <v>0</v>
      </c>
      <c r="Q82" s="2756"/>
      <c r="R82" s="2756"/>
      <c r="S82" s="2755">
        <f>S83+S84</f>
        <v>26063.3</v>
      </c>
      <c r="T82" s="2757"/>
      <c r="U82" s="2757"/>
      <c r="V82" s="2757"/>
      <c r="W82" s="2757"/>
      <c r="X82" s="2757"/>
      <c r="Y82" s="2757"/>
      <c r="Z82" s="2756"/>
      <c r="AA82" s="2765">
        <f>AA83+AA84</f>
        <v>0</v>
      </c>
      <c r="AB82" s="2756"/>
      <c r="AC82" s="2755">
        <f>AC83+AC84</f>
        <v>26063.3</v>
      </c>
      <c r="AD82" s="2756"/>
      <c r="AE82" s="2756"/>
      <c r="AF82" s="2772">
        <f>AF83+AF84</f>
        <v>69936.7</v>
      </c>
      <c r="AG82" s="2756"/>
      <c r="AH82" s="2756"/>
      <c r="AI82" s="2756"/>
      <c r="AJ82" s="2756"/>
      <c r="AK82" s="2756"/>
      <c r="AL82" s="2756"/>
      <c r="AM82" s="2756"/>
      <c r="AN82" s="2756"/>
      <c r="AO82" s="2765">
        <f>AO83+AO84</f>
        <v>0</v>
      </c>
      <c r="AP82" s="2756"/>
      <c r="AQ82" s="2765">
        <f>AQ83+AQ84</f>
        <v>0</v>
      </c>
      <c r="AR82" s="2756"/>
      <c r="AS82" s="2686"/>
      <c r="AT82" s="2719"/>
      <c r="AU82" s="2719"/>
      <c r="AV82" s="2719"/>
      <c r="AW82" s="2719"/>
      <c r="AX82" s="2719"/>
      <c r="AY82" s="2719"/>
      <c r="AZ82" s="2719"/>
      <c r="BA82" s="2719"/>
      <c r="BB82" s="2719"/>
      <c r="BC82" s="2719"/>
      <c r="BD82" s="2719"/>
      <c r="BE82" s="2719"/>
      <c r="BF82" s="2719"/>
      <c r="BG82" s="2719"/>
      <c r="BH82" s="2719"/>
    </row>
    <row r="83" spans="1:60" s="2720" customFormat="1" ht="16.5" customHeight="1" x14ac:dyDescent="0.25">
      <c r="A83" s="2732" t="s">
        <v>23</v>
      </c>
      <c r="B83" s="2733" t="s">
        <v>1118</v>
      </c>
      <c r="C83" s="2761">
        <f>J83+K83</f>
        <v>0</v>
      </c>
      <c r="D83" s="2737"/>
      <c r="E83" s="2737"/>
      <c r="F83" s="2737"/>
      <c r="G83" s="2737"/>
      <c r="H83" s="2737"/>
      <c r="I83" s="2737"/>
      <c r="J83" s="2737"/>
      <c r="K83" s="2737"/>
      <c r="L83" s="2736">
        <f>M83+P83</f>
        <v>94000</v>
      </c>
      <c r="M83" s="2736">
        <f>N83+O83</f>
        <v>94000</v>
      </c>
      <c r="N83" s="2737"/>
      <c r="O83" s="2736">
        <v>94000</v>
      </c>
      <c r="P83" s="2761">
        <f>W83+X83</f>
        <v>0</v>
      </c>
      <c r="Q83" s="2737"/>
      <c r="R83" s="2737"/>
      <c r="S83" s="2736">
        <f>SUM(Z83:AC83)</f>
        <v>26063.3</v>
      </c>
      <c r="T83" s="2736"/>
      <c r="U83" s="2736"/>
      <c r="V83" s="2736"/>
      <c r="W83" s="2736"/>
      <c r="X83" s="2736"/>
      <c r="Y83" s="2736"/>
      <c r="Z83" s="2737"/>
      <c r="AA83" s="2737"/>
      <c r="AB83" s="2737"/>
      <c r="AC83" s="2736">
        <v>26063.3</v>
      </c>
      <c r="AD83" s="2737"/>
      <c r="AE83" s="2737"/>
      <c r="AF83" s="2773">
        <f>M83-S83</f>
        <v>67936.7</v>
      </c>
      <c r="AG83" s="2737"/>
      <c r="AH83" s="2737"/>
      <c r="AI83" s="2737"/>
      <c r="AJ83" s="2737"/>
      <c r="AK83" s="2737"/>
      <c r="AL83" s="2737"/>
      <c r="AM83" s="2737"/>
      <c r="AN83" s="2737"/>
      <c r="AO83" s="2737"/>
      <c r="AP83" s="2737"/>
      <c r="AQ83" s="2737">
        <f>AR83+AS83</f>
        <v>0</v>
      </c>
      <c r="AR83" s="2737"/>
      <c r="AS83" s="2686"/>
      <c r="AT83" s="2719"/>
      <c r="AU83" s="2719"/>
      <c r="AV83" s="2719"/>
      <c r="AW83" s="2719"/>
      <c r="AX83" s="2719"/>
      <c r="AY83" s="2719"/>
      <c r="AZ83" s="2719"/>
      <c r="BA83" s="2719"/>
      <c r="BB83" s="2719"/>
      <c r="BC83" s="2719"/>
      <c r="BD83" s="2719"/>
      <c r="BE83" s="2719"/>
      <c r="BF83" s="2719"/>
      <c r="BG83" s="2719"/>
      <c r="BH83" s="2719"/>
    </row>
    <row r="84" spans="1:60" s="2720" customFormat="1" ht="16.5" customHeight="1" x14ac:dyDescent="0.25">
      <c r="A84" s="2732" t="s">
        <v>23</v>
      </c>
      <c r="B84" s="2733" t="s">
        <v>1119</v>
      </c>
      <c r="C84" s="2761">
        <f t="shared" ref="C84:C85" si="196">J84+K84</f>
        <v>0</v>
      </c>
      <c r="D84" s="2737"/>
      <c r="E84" s="2737"/>
      <c r="F84" s="2737"/>
      <c r="G84" s="2737"/>
      <c r="H84" s="2737"/>
      <c r="I84" s="2737"/>
      <c r="J84" s="2737"/>
      <c r="K84" s="2737"/>
      <c r="L84" s="2736">
        <f t="shared" ref="L84:L85" si="197">M84+P84</f>
        <v>2000</v>
      </c>
      <c r="M84" s="2736">
        <f t="shared" ref="M84:M85" si="198">N84+O84</f>
        <v>2000</v>
      </c>
      <c r="N84" s="2737"/>
      <c r="O84" s="2736">
        <v>2000</v>
      </c>
      <c r="P84" s="2761">
        <f t="shared" ref="P84:P85" si="199">W84+X84</f>
        <v>0</v>
      </c>
      <c r="Q84" s="2737"/>
      <c r="R84" s="2737"/>
      <c r="S84" s="2736">
        <f>SUM(Z84:AC84)</f>
        <v>0</v>
      </c>
      <c r="T84" s="2736"/>
      <c r="U84" s="2736"/>
      <c r="V84" s="2736"/>
      <c r="W84" s="2736"/>
      <c r="X84" s="2736"/>
      <c r="Y84" s="2736"/>
      <c r="Z84" s="2737"/>
      <c r="AA84" s="2737"/>
      <c r="AB84" s="2737"/>
      <c r="AC84" s="2736"/>
      <c r="AD84" s="2737"/>
      <c r="AE84" s="2737"/>
      <c r="AF84" s="2773">
        <f>M84-S84</f>
        <v>2000</v>
      </c>
      <c r="AG84" s="2737"/>
      <c r="AH84" s="2737"/>
      <c r="AI84" s="2737"/>
      <c r="AJ84" s="2737"/>
      <c r="AK84" s="2737"/>
      <c r="AL84" s="2737"/>
      <c r="AM84" s="2737"/>
      <c r="AN84" s="2737"/>
      <c r="AO84" s="2737"/>
      <c r="AP84" s="2737"/>
      <c r="AQ84" s="2737">
        <f>AR84+AS84</f>
        <v>0</v>
      </c>
      <c r="AR84" s="2737"/>
      <c r="AS84" s="2686"/>
      <c r="AT84" s="2719"/>
      <c r="AU84" s="2719"/>
      <c r="AV84" s="2719"/>
      <c r="AW84" s="2719"/>
      <c r="AX84" s="2719"/>
      <c r="AY84" s="2719"/>
      <c r="AZ84" s="2719"/>
      <c r="BA84" s="2719"/>
      <c r="BB84" s="2719"/>
      <c r="BC84" s="2719"/>
      <c r="BD84" s="2719"/>
      <c r="BE84" s="2719"/>
      <c r="BF84" s="2719"/>
      <c r="BG84" s="2719"/>
      <c r="BH84" s="2719"/>
    </row>
    <row r="85" spans="1:60" s="2720" customFormat="1" ht="16.5" hidden="1" customHeight="1" x14ac:dyDescent="0.25">
      <c r="A85" s="2732" t="s">
        <v>23</v>
      </c>
      <c r="B85" s="2733" t="s">
        <v>502</v>
      </c>
      <c r="C85" s="2761">
        <f t="shared" si="196"/>
        <v>0</v>
      </c>
      <c r="D85" s="2737"/>
      <c r="E85" s="2737"/>
      <c r="F85" s="2737"/>
      <c r="G85" s="2737"/>
      <c r="H85" s="2737"/>
      <c r="I85" s="2737"/>
      <c r="J85" s="2737"/>
      <c r="K85" s="2737"/>
      <c r="L85" s="2736">
        <f t="shared" si="197"/>
        <v>0</v>
      </c>
      <c r="M85" s="2736">
        <f t="shared" si="198"/>
        <v>0</v>
      </c>
      <c r="N85" s="2737"/>
      <c r="O85" s="2736"/>
      <c r="P85" s="2761">
        <f t="shared" si="199"/>
        <v>0</v>
      </c>
      <c r="Q85" s="2737"/>
      <c r="R85" s="2737"/>
      <c r="S85" s="2759"/>
      <c r="T85" s="2759"/>
      <c r="U85" s="2759"/>
      <c r="V85" s="2759"/>
      <c r="W85" s="2759"/>
      <c r="X85" s="2759"/>
      <c r="Y85" s="2759"/>
      <c r="Z85" s="2752"/>
      <c r="AA85" s="2752"/>
      <c r="AB85" s="2752"/>
      <c r="AC85" s="2759"/>
      <c r="AD85" s="2759"/>
      <c r="AE85" s="2759"/>
      <c r="AF85" s="2759"/>
      <c r="AG85" s="2752"/>
      <c r="AH85" s="2752"/>
      <c r="AI85" s="2752"/>
      <c r="AJ85" s="2752"/>
      <c r="AK85" s="2752"/>
      <c r="AL85" s="2752"/>
      <c r="AM85" s="2752"/>
      <c r="AN85" s="2752"/>
      <c r="AO85" s="2752"/>
      <c r="AP85" s="2759"/>
      <c r="AQ85" s="2759"/>
      <c r="AR85" s="2759"/>
      <c r="AS85" s="2686"/>
      <c r="AT85" s="2719"/>
      <c r="AU85" s="2719"/>
      <c r="AV85" s="2719"/>
      <c r="AW85" s="2719"/>
      <c r="AX85" s="2719"/>
      <c r="AY85" s="2719"/>
      <c r="AZ85" s="2719"/>
      <c r="BA85" s="2719"/>
      <c r="BB85" s="2719"/>
      <c r="BC85" s="2719"/>
      <c r="BD85" s="2719"/>
      <c r="BE85" s="2719"/>
      <c r="BF85" s="2719"/>
      <c r="BG85" s="2719"/>
      <c r="BH85" s="2719"/>
    </row>
    <row r="86" spans="1:60" s="2681" customFormat="1" ht="36" customHeight="1" x14ac:dyDescent="0.25">
      <c r="A86" s="2726" t="s">
        <v>17</v>
      </c>
      <c r="B86" s="2731" t="s">
        <v>1123</v>
      </c>
      <c r="C86" s="2728">
        <f>SUM(C87:I89)</f>
        <v>131656.95699999999</v>
      </c>
      <c r="D86" s="2728">
        <f t="shared" ref="D86:I86" si="200">SUM(D87:J89)</f>
        <v>0</v>
      </c>
      <c r="E86" s="2728">
        <f t="shared" si="200"/>
        <v>131656.95699999999</v>
      </c>
      <c r="F86" s="2728">
        <f t="shared" si="200"/>
        <v>2003896.9569999999</v>
      </c>
      <c r="G86" s="2728">
        <f t="shared" si="200"/>
        <v>3876136.9569999999</v>
      </c>
      <c r="H86" s="2728">
        <f t="shared" si="200"/>
        <v>3876136.9569999999</v>
      </c>
      <c r="I86" s="2728">
        <f t="shared" si="200"/>
        <v>5748376.9570000004</v>
      </c>
      <c r="J86" s="2728">
        <f>SUM(J87:J89)</f>
        <v>0</v>
      </c>
      <c r="K86" s="2728">
        <f t="shared" ref="K86:AR86" si="201">SUM(K87:K89)</f>
        <v>131656.95699999999</v>
      </c>
      <c r="L86" s="2746">
        <f t="shared" si="201"/>
        <v>1872240</v>
      </c>
      <c r="M86" s="2746">
        <f t="shared" si="201"/>
        <v>1872240</v>
      </c>
      <c r="N86" s="2728">
        <f t="shared" si="201"/>
        <v>0</v>
      </c>
      <c r="O86" s="2746">
        <f t="shared" si="201"/>
        <v>1872240</v>
      </c>
      <c r="P86" s="2728">
        <f t="shared" si="201"/>
        <v>0</v>
      </c>
      <c r="Q86" s="2728">
        <f t="shared" si="201"/>
        <v>0</v>
      </c>
      <c r="R86" s="2728">
        <f t="shared" si="201"/>
        <v>0</v>
      </c>
      <c r="S86" s="2746">
        <f t="shared" si="201"/>
        <v>265610</v>
      </c>
      <c r="T86" s="2746">
        <f t="shared" si="201"/>
        <v>0</v>
      </c>
      <c r="U86" s="2746">
        <f t="shared" si="201"/>
        <v>0</v>
      </c>
      <c r="V86" s="2746">
        <f t="shared" si="201"/>
        <v>0</v>
      </c>
      <c r="W86" s="2746">
        <f t="shared" si="201"/>
        <v>0</v>
      </c>
      <c r="X86" s="2746">
        <f t="shared" si="201"/>
        <v>0</v>
      </c>
      <c r="Y86" s="2746">
        <f t="shared" si="201"/>
        <v>0</v>
      </c>
      <c r="Z86" s="2728">
        <f t="shared" si="201"/>
        <v>0</v>
      </c>
      <c r="AA86" s="2728">
        <f t="shared" si="201"/>
        <v>0</v>
      </c>
      <c r="AB86" s="2728">
        <f t="shared" si="201"/>
        <v>0</v>
      </c>
      <c r="AC86" s="2746">
        <f t="shared" si="201"/>
        <v>265610</v>
      </c>
      <c r="AD86" s="2746">
        <f t="shared" si="201"/>
        <v>1360117.56</v>
      </c>
      <c r="AE86" s="2728">
        <f t="shared" si="201"/>
        <v>0</v>
      </c>
      <c r="AF86" s="2746">
        <f t="shared" si="201"/>
        <v>1360117.56</v>
      </c>
      <c r="AG86" s="2728">
        <f t="shared" si="201"/>
        <v>0</v>
      </c>
      <c r="AH86" s="2728">
        <f t="shared" si="201"/>
        <v>0</v>
      </c>
      <c r="AI86" s="2728">
        <f t="shared" si="201"/>
        <v>0</v>
      </c>
      <c r="AJ86" s="2728">
        <f t="shared" si="201"/>
        <v>0</v>
      </c>
      <c r="AK86" s="2728">
        <f t="shared" si="201"/>
        <v>0</v>
      </c>
      <c r="AL86" s="2728">
        <f t="shared" si="201"/>
        <v>0</v>
      </c>
      <c r="AM86" s="2728">
        <f t="shared" si="201"/>
        <v>0</v>
      </c>
      <c r="AN86" s="2728">
        <f t="shared" si="201"/>
        <v>0</v>
      </c>
      <c r="AO86" s="2728">
        <f t="shared" si="201"/>
        <v>0</v>
      </c>
      <c r="AP86" s="2728">
        <f t="shared" si="201"/>
        <v>0</v>
      </c>
      <c r="AQ86" s="2728">
        <f t="shared" si="201"/>
        <v>0</v>
      </c>
      <c r="AR86" s="2746">
        <f t="shared" si="201"/>
        <v>378169.397</v>
      </c>
      <c r="AS86" s="2677"/>
      <c r="AT86" s="2680"/>
      <c r="AU86" s="2680"/>
      <c r="AV86" s="2680"/>
      <c r="AW86" s="2680"/>
      <c r="AX86" s="2680"/>
      <c r="AY86" s="2680"/>
      <c r="AZ86" s="2680"/>
      <c r="BA86" s="2680"/>
      <c r="BB86" s="2680"/>
      <c r="BC86" s="2680"/>
      <c r="BD86" s="2680"/>
      <c r="BE86" s="2680"/>
      <c r="BF86" s="2680"/>
      <c r="BG86" s="2680"/>
      <c r="BH86" s="2680"/>
    </row>
    <row r="87" spans="1:60" s="2716" customFormat="1" ht="16.5" customHeight="1" x14ac:dyDescent="0.25">
      <c r="A87" s="2732" t="s">
        <v>23</v>
      </c>
      <c r="B87" s="2733" t="s">
        <v>1118</v>
      </c>
      <c r="C87" s="2761">
        <f>J87+K87</f>
        <v>131656.95699999999</v>
      </c>
      <c r="D87" s="2737"/>
      <c r="E87" s="2737"/>
      <c r="F87" s="2737"/>
      <c r="G87" s="2737"/>
      <c r="H87" s="2737"/>
      <c r="I87" s="2737"/>
      <c r="J87" s="2737">
        <f t="shared" ref="J87:K89" si="202">J91+J107+J111+J116+J120</f>
        <v>0</v>
      </c>
      <c r="K87" s="2737">
        <f t="shared" si="202"/>
        <v>131656.95699999999</v>
      </c>
      <c r="L87" s="2736">
        <f>M87+P87</f>
        <v>1811240</v>
      </c>
      <c r="M87" s="2736">
        <f>N87+O87</f>
        <v>1811240</v>
      </c>
      <c r="N87" s="2737">
        <f t="shared" ref="N87:O89" si="203">N91+N107+N111+N116+N120</f>
        <v>0</v>
      </c>
      <c r="O87" s="2736">
        <f t="shared" si="203"/>
        <v>1811240</v>
      </c>
      <c r="P87" s="2737"/>
      <c r="Q87" s="2737">
        <f t="shared" ref="Q87:R89" si="204">Q91+Q107+Q111+Q116+Q120</f>
        <v>0</v>
      </c>
      <c r="R87" s="2737">
        <f t="shared" si="204"/>
        <v>0</v>
      </c>
      <c r="S87" s="2736">
        <f>SUM(Z87:AC87)</f>
        <v>252879.5</v>
      </c>
      <c r="T87" s="2736"/>
      <c r="U87" s="2736"/>
      <c r="V87" s="2736"/>
      <c r="W87" s="2736"/>
      <c r="X87" s="2736"/>
      <c r="Y87" s="2736"/>
      <c r="Z87" s="2737">
        <f t="shared" ref="Z87:AC89" si="205">Z91+Z107+Z111+Z116+Z120</f>
        <v>0</v>
      </c>
      <c r="AA87" s="2737">
        <f t="shared" si="205"/>
        <v>0</v>
      </c>
      <c r="AB87" s="2737">
        <f t="shared" si="205"/>
        <v>0</v>
      </c>
      <c r="AC87" s="2736">
        <f t="shared" si="205"/>
        <v>252879.5</v>
      </c>
      <c r="AD87" s="2736">
        <f>AE87+AF87</f>
        <v>1315848.06</v>
      </c>
      <c r="AE87" s="2737">
        <f t="shared" ref="AE87:AF89" si="206">AE91+AE107+AE111+AE116+AE120</f>
        <v>0</v>
      </c>
      <c r="AF87" s="2736">
        <f t="shared" si="206"/>
        <v>1315848.06</v>
      </c>
      <c r="AG87" s="2737">
        <f>SUM(AN87:AQ87)</f>
        <v>0</v>
      </c>
      <c r="AH87" s="2737"/>
      <c r="AI87" s="2737"/>
      <c r="AJ87" s="2737"/>
      <c r="AK87" s="2737"/>
      <c r="AL87" s="2737"/>
      <c r="AM87" s="2737"/>
      <c r="AN87" s="2737">
        <f t="shared" ref="AN87:AR89" si="207">AN91+AN107+AN111+AN116+AN120</f>
        <v>0</v>
      </c>
      <c r="AO87" s="2737">
        <f t="shared" si="207"/>
        <v>0</v>
      </c>
      <c r="AP87" s="2737">
        <f t="shared" si="207"/>
        <v>0</v>
      </c>
      <c r="AQ87" s="2737">
        <f t="shared" si="207"/>
        <v>0</v>
      </c>
      <c r="AR87" s="2736">
        <f t="shared" si="207"/>
        <v>374169.397</v>
      </c>
      <c r="AS87" s="2682"/>
      <c r="AT87" s="2715"/>
      <c r="AU87" s="2715"/>
      <c r="AV87" s="2715"/>
      <c r="AW87" s="2715"/>
      <c r="AX87" s="2715"/>
      <c r="AY87" s="2715"/>
      <c r="AZ87" s="2715"/>
      <c r="BA87" s="2715"/>
      <c r="BB87" s="2715"/>
      <c r="BC87" s="2715"/>
      <c r="BD87" s="2715"/>
      <c r="BE87" s="2715"/>
      <c r="BF87" s="2715"/>
      <c r="BG87" s="2715"/>
      <c r="BH87" s="2715"/>
    </row>
    <row r="88" spans="1:60" s="2716" customFormat="1" ht="16.5" customHeight="1" x14ac:dyDescent="0.25">
      <c r="A88" s="2732" t="s">
        <v>23</v>
      </c>
      <c r="B88" s="2733" t="s">
        <v>1119</v>
      </c>
      <c r="C88" s="2761">
        <f t="shared" ref="C88:C130" si="208">J88+K88</f>
        <v>0</v>
      </c>
      <c r="D88" s="2737"/>
      <c r="E88" s="2737"/>
      <c r="F88" s="2737"/>
      <c r="G88" s="2737"/>
      <c r="H88" s="2737"/>
      <c r="I88" s="2737"/>
      <c r="J88" s="2737">
        <f t="shared" si="202"/>
        <v>0</v>
      </c>
      <c r="K88" s="2737">
        <f t="shared" si="202"/>
        <v>0</v>
      </c>
      <c r="L88" s="2736">
        <f t="shared" ref="L88:L89" si="209">M88+P88</f>
        <v>61000</v>
      </c>
      <c r="M88" s="2736">
        <f>N88+O88</f>
        <v>61000</v>
      </c>
      <c r="N88" s="2737">
        <f t="shared" si="203"/>
        <v>0</v>
      </c>
      <c r="O88" s="2736">
        <f t="shared" si="203"/>
        <v>61000</v>
      </c>
      <c r="P88" s="2737"/>
      <c r="Q88" s="2737">
        <f t="shared" si="204"/>
        <v>0</v>
      </c>
      <c r="R88" s="2737">
        <f t="shared" si="204"/>
        <v>0</v>
      </c>
      <c r="S88" s="2736">
        <f>SUM(Z88:AC88)</f>
        <v>12730.5</v>
      </c>
      <c r="T88" s="2736"/>
      <c r="U88" s="2736"/>
      <c r="V88" s="2736"/>
      <c r="W88" s="2736"/>
      <c r="X88" s="2736"/>
      <c r="Y88" s="2736"/>
      <c r="Z88" s="2737">
        <f t="shared" si="205"/>
        <v>0</v>
      </c>
      <c r="AA88" s="2737">
        <f t="shared" si="205"/>
        <v>0</v>
      </c>
      <c r="AB88" s="2737">
        <f t="shared" si="205"/>
        <v>0</v>
      </c>
      <c r="AC88" s="2736">
        <f t="shared" si="205"/>
        <v>12730.5</v>
      </c>
      <c r="AD88" s="2736">
        <f t="shared" ref="AD88:AD89" si="210">AE88+AF88</f>
        <v>44269.5</v>
      </c>
      <c r="AE88" s="2737">
        <f t="shared" si="206"/>
        <v>0</v>
      </c>
      <c r="AF88" s="2736">
        <f t="shared" si="206"/>
        <v>44269.5</v>
      </c>
      <c r="AG88" s="2737">
        <f t="shared" ref="AG88:AG89" si="211">SUM(AN88:AQ88)</f>
        <v>0</v>
      </c>
      <c r="AH88" s="2737"/>
      <c r="AI88" s="2737"/>
      <c r="AJ88" s="2737"/>
      <c r="AK88" s="2737"/>
      <c r="AL88" s="2737"/>
      <c r="AM88" s="2737"/>
      <c r="AN88" s="2737">
        <f t="shared" si="207"/>
        <v>0</v>
      </c>
      <c r="AO88" s="2737">
        <f t="shared" si="207"/>
        <v>0</v>
      </c>
      <c r="AP88" s="2737">
        <f t="shared" si="207"/>
        <v>0</v>
      </c>
      <c r="AQ88" s="2737">
        <f t="shared" si="207"/>
        <v>0</v>
      </c>
      <c r="AR88" s="2736">
        <f t="shared" si="207"/>
        <v>4000</v>
      </c>
      <c r="AS88" s="2682"/>
      <c r="AT88" s="2715"/>
      <c r="AU88" s="2715"/>
      <c r="AV88" s="2715"/>
      <c r="AW88" s="2715"/>
      <c r="AX88" s="2715"/>
      <c r="AY88" s="2715"/>
      <c r="AZ88" s="2715"/>
      <c r="BA88" s="2715"/>
      <c r="BB88" s="2715"/>
      <c r="BC88" s="2715"/>
      <c r="BD88" s="2715"/>
      <c r="BE88" s="2715"/>
      <c r="BF88" s="2715"/>
      <c r="BG88" s="2715"/>
      <c r="BH88" s="2715"/>
    </row>
    <row r="89" spans="1:60" s="2716" customFormat="1" ht="16.5" hidden="1" customHeight="1" x14ac:dyDescent="0.25">
      <c r="A89" s="2732" t="s">
        <v>23</v>
      </c>
      <c r="B89" s="2733" t="s">
        <v>502</v>
      </c>
      <c r="C89" s="2761">
        <f t="shared" si="208"/>
        <v>0</v>
      </c>
      <c r="D89" s="2737"/>
      <c r="E89" s="2737"/>
      <c r="F89" s="2737"/>
      <c r="G89" s="2737"/>
      <c r="H89" s="2737"/>
      <c r="I89" s="2737"/>
      <c r="J89" s="2737">
        <f t="shared" si="202"/>
        <v>0</v>
      </c>
      <c r="K89" s="2737">
        <f t="shared" si="202"/>
        <v>0</v>
      </c>
      <c r="L89" s="2736">
        <f t="shared" si="209"/>
        <v>0</v>
      </c>
      <c r="M89" s="2736">
        <f>N89+O89</f>
        <v>0</v>
      </c>
      <c r="N89" s="2737">
        <f t="shared" si="203"/>
        <v>0</v>
      </c>
      <c r="O89" s="2736">
        <f t="shared" si="203"/>
        <v>0</v>
      </c>
      <c r="P89" s="2737"/>
      <c r="Q89" s="2737">
        <f t="shared" si="204"/>
        <v>0</v>
      </c>
      <c r="R89" s="2737">
        <f>R93+R109+R113+R118+R122</f>
        <v>0</v>
      </c>
      <c r="S89" s="2736">
        <f>SUM(Z89:AC89)</f>
        <v>0</v>
      </c>
      <c r="T89" s="2736"/>
      <c r="U89" s="2736"/>
      <c r="V89" s="2736"/>
      <c r="W89" s="2736"/>
      <c r="X89" s="2736"/>
      <c r="Y89" s="2736"/>
      <c r="Z89" s="2737">
        <f t="shared" si="205"/>
        <v>0</v>
      </c>
      <c r="AA89" s="2737">
        <f t="shared" si="205"/>
        <v>0</v>
      </c>
      <c r="AB89" s="2737">
        <f t="shared" si="205"/>
        <v>0</v>
      </c>
      <c r="AC89" s="2736">
        <f t="shared" si="205"/>
        <v>0</v>
      </c>
      <c r="AD89" s="2736">
        <f t="shared" si="210"/>
        <v>0</v>
      </c>
      <c r="AE89" s="2737">
        <f t="shared" si="206"/>
        <v>0</v>
      </c>
      <c r="AF89" s="2736">
        <f t="shared" si="206"/>
        <v>0</v>
      </c>
      <c r="AG89" s="2737">
        <f t="shared" si="211"/>
        <v>0</v>
      </c>
      <c r="AH89" s="2737"/>
      <c r="AI89" s="2737"/>
      <c r="AJ89" s="2737"/>
      <c r="AK89" s="2737"/>
      <c r="AL89" s="2737"/>
      <c r="AM89" s="2737"/>
      <c r="AN89" s="2737">
        <f t="shared" si="207"/>
        <v>0</v>
      </c>
      <c r="AO89" s="2737">
        <f t="shared" si="207"/>
        <v>0</v>
      </c>
      <c r="AP89" s="2737">
        <f t="shared" si="207"/>
        <v>0</v>
      </c>
      <c r="AQ89" s="2737">
        <f t="shared" si="207"/>
        <v>0</v>
      </c>
      <c r="AR89" s="2736">
        <f t="shared" si="207"/>
        <v>0</v>
      </c>
      <c r="AS89" s="2682"/>
      <c r="AT89" s="2715"/>
      <c r="AU89" s="2715"/>
      <c r="AV89" s="2715"/>
      <c r="AW89" s="2715"/>
      <c r="AX89" s="2715"/>
      <c r="AY89" s="2715"/>
      <c r="AZ89" s="2715"/>
      <c r="BA89" s="2715"/>
      <c r="BB89" s="2715"/>
      <c r="BC89" s="2715"/>
      <c r="BD89" s="2715"/>
      <c r="BE89" s="2715"/>
      <c r="BF89" s="2715"/>
      <c r="BG89" s="2715"/>
      <c r="BH89" s="2715"/>
    </row>
    <row r="90" spans="1:60" s="2718" customFormat="1" ht="51.75" customHeight="1" x14ac:dyDescent="0.25">
      <c r="A90" s="2748">
        <v>1</v>
      </c>
      <c r="B90" s="2749" t="s">
        <v>1422</v>
      </c>
      <c r="C90" s="2728">
        <f>SUM(C91:I93)</f>
        <v>119167.72899999999</v>
      </c>
      <c r="D90" s="2752"/>
      <c r="E90" s="2752"/>
      <c r="F90" s="2752"/>
      <c r="G90" s="2752"/>
      <c r="H90" s="2752"/>
      <c r="I90" s="2752"/>
      <c r="J90" s="2751">
        <f t="shared" ref="J90:K90" si="212">J91+J92</f>
        <v>0</v>
      </c>
      <c r="K90" s="2751">
        <f t="shared" si="212"/>
        <v>119167.72899999999</v>
      </c>
      <c r="L90" s="2750">
        <f>L91+L92</f>
        <v>1472240</v>
      </c>
      <c r="M90" s="2750">
        <f>M91+M92</f>
        <v>1472240</v>
      </c>
      <c r="N90" s="2752"/>
      <c r="O90" s="2750">
        <f>O91+O92</f>
        <v>1472240</v>
      </c>
      <c r="P90" s="2751">
        <f>P91+P92</f>
        <v>0</v>
      </c>
      <c r="Q90" s="2752"/>
      <c r="R90" s="2751">
        <f>R91+R92</f>
        <v>0</v>
      </c>
      <c r="S90" s="2750">
        <f>S91+S92</f>
        <v>14610</v>
      </c>
      <c r="T90" s="2750">
        <f t="shared" ref="T90:AR90" si="213">T91+T92</f>
        <v>0</v>
      </c>
      <c r="U90" s="2750">
        <f t="shared" si="213"/>
        <v>0</v>
      </c>
      <c r="V90" s="2750">
        <f t="shared" si="213"/>
        <v>0</v>
      </c>
      <c r="W90" s="2750">
        <f t="shared" si="213"/>
        <v>0</v>
      </c>
      <c r="X90" s="2750">
        <f t="shared" si="213"/>
        <v>0</v>
      </c>
      <c r="Y90" s="2750">
        <f t="shared" si="213"/>
        <v>0</v>
      </c>
      <c r="Z90" s="2751">
        <f t="shared" si="213"/>
        <v>0</v>
      </c>
      <c r="AA90" s="2751">
        <f t="shared" si="213"/>
        <v>0</v>
      </c>
      <c r="AB90" s="2751">
        <f t="shared" si="213"/>
        <v>0</v>
      </c>
      <c r="AC90" s="2750">
        <f t="shared" si="213"/>
        <v>14610</v>
      </c>
      <c r="AD90" s="2750">
        <f t="shared" si="213"/>
        <v>1293630</v>
      </c>
      <c r="AE90" s="2751">
        <f t="shared" si="213"/>
        <v>0</v>
      </c>
      <c r="AF90" s="2750">
        <f t="shared" si="213"/>
        <v>1293630</v>
      </c>
      <c r="AG90" s="2751">
        <f t="shared" si="213"/>
        <v>0</v>
      </c>
      <c r="AH90" s="2751">
        <f t="shared" si="213"/>
        <v>0</v>
      </c>
      <c r="AI90" s="2751">
        <f t="shared" si="213"/>
        <v>0</v>
      </c>
      <c r="AJ90" s="2751">
        <f t="shared" si="213"/>
        <v>0</v>
      </c>
      <c r="AK90" s="2751">
        <f t="shared" si="213"/>
        <v>0</v>
      </c>
      <c r="AL90" s="2751">
        <f t="shared" si="213"/>
        <v>0</v>
      </c>
      <c r="AM90" s="2751">
        <f t="shared" si="213"/>
        <v>0</v>
      </c>
      <c r="AN90" s="2751">
        <f t="shared" si="213"/>
        <v>0</v>
      </c>
      <c r="AO90" s="2751">
        <f t="shared" si="213"/>
        <v>0</v>
      </c>
      <c r="AP90" s="2751">
        <f t="shared" si="213"/>
        <v>0</v>
      </c>
      <c r="AQ90" s="2751">
        <f t="shared" si="213"/>
        <v>0</v>
      </c>
      <c r="AR90" s="2750">
        <f t="shared" si="213"/>
        <v>283167.72899999999</v>
      </c>
      <c r="AS90" s="2686"/>
      <c r="AT90" s="2717"/>
      <c r="AU90" s="2717"/>
      <c r="AV90" s="2717"/>
      <c r="AW90" s="2717"/>
      <c r="AX90" s="2717"/>
      <c r="AY90" s="2717"/>
      <c r="AZ90" s="2717"/>
      <c r="BA90" s="2717"/>
      <c r="BB90" s="2717"/>
      <c r="BC90" s="2717"/>
      <c r="BD90" s="2717"/>
      <c r="BE90" s="2717"/>
      <c r="BF90" s="2717"/>
      <c r="BG90" s="2717"/>
      <c r="BH90" s="2717"/>
    </row>
    <row r="91" spans="1:60" s="2716" customFormat="1" ht="16.5" customHeight="1" x14ac:dyDescent="0.25">
      <c r="A91" s="2732" t="s">
        <v>23</v>
      </c>
      <c r="B91" s="2733" t="s">
        <v>1118</v>
      </c>
      <c r="C91" s="2761">
        <f t="shared" si="208"/>
        <v>119167.72899999999</v>
      </c>
      <c r="D91" s="2737"/>
      <c r="E91" s="2737"/>
      <c r="F91" s="2737"/>
      <c r="G91" s="2737"/>
      <c r="H91" s="2737"/>
      <c r="I91" s="2737"/>
      <c r="J91" s="2737"/>
      <c r="K91" s="2737">
        <f>K95+K99+K103</f>
        <v>119167.72899999999</v>
      </c>
      <c r="L91" s="2736">
        <f>M91+P91</f>
        <v>1432240</v>
      </c>
      <c r="M91" s="2736">
        <f>N91+O91</f>
        <v>1432240</v>
      </c>
      <c r="N91" s="2737">
        <f>N95+N99+N103</f>
        <v>0</v>
      </c>
      <c r="O91" s="2736">
        <f>O95+O99+O103</f>
        <v>1432240</v>
      </c>
      <c r="P91" s="2761">
        <f>W91+X91</f>
        <v>0</v>
      </c>
      <c r="Q91" s="2737"/>
      <c r="R91" s="2737"/>
      <c r="S91" s="2736">
        <f>SUM(Z91:AC91)</f>
        <v>13879.5</v>
      </c>
      <c r="T91" s="2736"/>
      <c r="U91" s="2736"/>
      <c r="V91" s="2736"/>
      <c r="W91" s="2736"/>
      <c r="X91" s="2736"/>
      <c r="Y91" s="2736"/>
      <c r="Z91" s="2737"/>
      <c r="AA91" s="2737"/>
      <c r="AB91" s="2737"/>
      <c r="AC91" s="2736">
        <f>AC95+AC99+AC103</f>
        <v>13879.5</v>
      </c>
      <c r="AD91" s="2747">
        <f>AE91+AF91</f>
        <v>1254360.5</v>
      </c>
      <c r="AE91" s="2736"/>
      <c r="AF91" s="2736">
        <f>AF95+AF99+AF103</f>
        <v>1254360.5</v>
      </c>
      <c r="AG91" s="2737"/>
      <c r="AH91" s="2737"/>
      <c r="AI91" s="2737"/>
      <c r="AJ91" s="2737"/>
      <c r="AK91" s="2737"/>
      <c r="AL91" s="2737"/>
      <c r="AM91" s="2737"/>
      <c r="AN91" s="2737"/>
      <c r="AO91" s="2737"/>
      <c r="AP91" s="2736"/>
      <c r="AQ91" s="2736"/>
      <c r="AR91" s="2736">
        <f>AR95+AR99+AR103</f>
        <v>283167.72899999999</v>
      </c>
      <c r="AS91" s="2682"/>
      <c r="AT91" s="2715"/>
      <c r="AU91" s="2715"/>
      <c r="AV91" s="2715"/>
      <c r="AW91" s="2715"/>
      <c r="AX91" s="2715"/>
      <c r="AY91" s="2715"/>
      <c r="AZ91" s="2715"/>
      <c r="BA91" s="2715"/>
      <c r="BB91" s="2715"/>
      <c r="BC91" s="2715"/>
      <c r="BD91" s="2715"/>
      <c r="BE91" s="2715"/>
      <c r="BF91" s="2715"/>
      <c r="BG91" s="2715"/>
      <c r="BH91" s="2715"/>
    </row>
    <row r="92" spans="1:60" s="2716" customFormat="1" ht="16.5" customHeight="1" x14ac:dyDescent="0.25">
      <c r="A92" s="2732" t="s">
        <v>23</v>
      </c>
      <c r="B92" s="2733" t="s">
        <v>1119</v>
      </c>
      <c r="C92" s="2761">
        <f t="shared" si="208"/>
        <v>0</v>
      </c>
      <c r="D92" s="2737"/>
      <c r="E92" s="2737"/>
      <c r="F92" s="2737"/>
      <c r="G92" s="2737"/>
      <c r="H92" s="2737"/>
      <c r="I92" s="2737"/>
      <c r="J92" s="2737"/>
      <c r="K92" s="2737">
        <f t="shared" ref="K92:K93" si="214">K96+K100+K104</f>
        <v>0</v>
      </c>
      <c r="L92" s="2736">
        <f t="shared" ref="L92:L93" si="215">M92+P92</f>
        <v>40000</v>
      </c>
      <c r="M92" s="2736">
        <f>N92+O92</f>
        <v>40000</v>
      </c>
      <c r="N92" s="2737">
        <f t="shared" ref="N92" si="216">N96+N100+N104</f>
        <v>0</v>
      </c>
      <c r="O92" s="2736">
        <f>O96+O100+O104</f>
        <v>40000</v>
      </c>
      <c r="P92" s="2761">
        <f>W92+X92</f>
        <v>0</v>
      </c>
      <c r="Q92" s="2737"/>
      <c r="R92" s="2737"/>
      <c r="S92" s="2736">
        <f>SUM(Z92:AC92)</f>
        <v>730.5</v>
      </c>
      <c r="T92" s="2736"/>
      <c r="U92" s="2736"/>
      <c r="V92" s="2736"/>
      <c r="W92" s="2736"/>
      <c r="X92" s="2736"/>
      <c r="Y92" s="2736"/>
      <c r="Z92" s="2737"/>
      <c r="AA92" s="2737"/>
      <c r="AB92" s="2737"/>
      <c r="AC92" s="2736">
        <f>AC96+AC100+AC104</f>
        <v>730.5</v>
      </c>
      <c r="AD92" s="2747">
        <f>AE92+AF92</f>
        <v>39269.5</v>
      </c>
      <c r="AE92" s="2736"/>
      <c r="AF92" s="2736">
        <f>AF96+AF100+AF104</f>
        <v>39269.5</v>
      </c>
      <c r="AG92" s="2737"/>
      <c r="AH92" s="2737"/>
      <c r="AI92" s="2737"/>
      <c r="AJ92" s="2737"/>
      <c r="AK92" s="2737"/>
      <c r="AL92" s="2737"/>
      <c r="AM92" s="2737"/>
      <c r="AN92" s="2737"/>
      <c r="AO92" s="2737"/>
      <c r="AP92" s="2736"/>
      <c r="AQ92" s="2736"/>
      <c r="AR92" s="2736">
        <f>AR96+AR100+AR104</f>
        <v>0</v>
      </c>
      <c r="AS92" s="2682"/>
      <c r="AT92" s="2715"/>
      <c r="AU92" s="2715"/>
      <c r="AV92" s="2715"/>
      <c r="AW92" s="2715"/>
      <c r="AX92" s="2715"/>
      <c r="AY92" s="2715"/>
      <c r="AZ92" s="2715"/>
      <c r="BA92" s="2715"/>
      <c r="BB92" s="2715"/>
      <c r="BC92" s="2715"/>
      <c r="BD92" s="2715"/>
      <c r="BE92" s="2715"/>
      <c r="BF92" s="2715"/>
      <c r="BG92" s="2715"/>
      <c r="BH92" s="2715"/>
    </row>
    <row r="93" spans="1:60" s="2716" customFormat="1" ht="16.5" hidden="1" customHeight="1" x14ac:dyDescent="0.25">
      <c r="A93" s="2732" t="s">
        <v>23</v>
      </c>
      <c r="B93" s="2733" t="s">
        <v>502</v>
      </c>
      <c r="C93" s="2761">
        <f t="shared" si="208"/>
        <v>0</v>
      </c>
      <c r="D93" s="2737"/>
      <c r="E93" s="2737"/>
      <c r="F93" s="2737"/>
      <c r="G93" s="2737"/>
      <c r="H93" s="2737"/>
      <c r="I93" s="2737"/>
      <c r="J93" s="2737"/>
      <c r="K93" s="2737">
        <f t="shared" si="214"/>
        <v>0</v>
      </c>
      <c r="L93" s="2736">
        <f t="shared" si="215"/>
        <v>0</v>
      </c>
      <c r="M93" s="2736">
        <f t="shared" ref="M93" si="217">N93+O93</f>
        <v>0</v>
      </c>
      <c r="N93" s="2737">
        <f t="shared" ref="N93:O93" si="218">N97+N101+N105</f>
        <v>0</v>
      </c>
      <c r="O93" s="2736">
        <f t="shared" si="218"/>
        <v>0</v>
      </c>
      <c r="P93" s="2737"/>
      <c r="Q93" s="2737"/>
      <c r="R93" s="2737"/>
      <c r="S93" s="2736"/>
      <c r="T93" s="2736"/>
      <c r="U93" s="2736"/>
      <c r="V93" s="2736"/>
      <c r="W93" s="2736"/>
      <c r="X93" s="2736"/>
      <c r="Y93" s="2736"/>
      <c r="Z93" s="2737"/>
      <c r="AA93" s="2737"/>
      <c r="AB93" s="2737"/>
      <c r="AC93" s="2736">
        <f t="shared" ref="AC93" si="219">AC97+AC101+AC105</f>
        <v>0</v>
      </c>
      <c r="AD93" s="2736"/>
      <c r="AE93" s="2736"/>
      <c r="AF93" s="2736">
        <f t="shared" ref="AF93" si="220">AF97+AF101+AF105</f>
        <v>0</v>
      </c>
      <c r="AG93" s="2737"/>
      <c r="AH93" s="2737"/>
      <c r="AI93" s="2737"/>
      <c r="AJ93" s="2737"/>
      <c r="AK93" s="2737"/>
      <c r="AL93" s="2737"/>
      <c r="AM93" s="2737"/>
      <c r="AN93" s="2737"/>
      <c r="AO93" s="2737"/>
      <c r="AP93" s="2736"/>
      <c r="AQ93" s="2736"/>
      <c r="AR93" s="2736">
        <f t="shared" ref="AR93" si="221">AR97+AR101+AR105</f>
        <v>0</v>
      </c>
      <c r="AS93" s="2682"/>
      <c r="AT93" s="2715"/>
      <c r="AU93" s="2715"/>
      <c r="AV93" s="2715"/>
      <c r="AW93" s="2715"/>
      <c r="AX93" s="2715"/>
      <c r="AY93" s="2715"/>
      <c r="AZ93" s="2715"/>
      <c r="BA93" s="2715"/>
      <c r="BB93" s="2715"/>
      <c r="BC93" s="2715"/>
      <c r="BD93" s="2715"/>
      <c r="BE93" s="2715"/>
      <c r="BF93" s="2715"/>
      <c r="BG93" s="2715"/>
      <c r="BH93" s="2715"/>
    </row>
    <row r="94" spans="1:60" s="2716" customFormat="1" ht="68.25" customHeight="1" x14ac:dyDescent="0.25">
      <c r="A94" s="2732" t="s">
        <v>7</v>
      </c>
      <c r="B94" s="2742" t="s">
        <v>2152</v>
      </c>
      <c r="C94" s="2761">
        <f>SUM(C95:C97)</f>
        <v>118170.689</v>
      </c>
      <c r="D94" s="2761">
        <f t="shared" ref="D94:AR94" si="222">SUM(D95:D97)</f>
        <v>0</v>
      </c>
      <c r="E94" s="2761">
        <f t="shared" si="222"/>
        <v>0</v>
      </c>
      <c r="F94" s="2761">
        <f t="shared" si="222"/>
        <v>0</v>
      </c>
      <c r="G94" s="2761">
        <f t="shared" si="222"/>
        <v>0</v>
      </c>
      <c r="H94" s="2761">
        <f t="shared" si="222"/>
        <v>0</v>
      </c>
      <c r="I94" s="2761">
        <f t="shared" si="222"/>
        <v>0</v>
      </c>
      <c r="J94" s="2761">
        <f t="shared" si="222"/>
        <v>0</v>
      </c>
      <c r="K94" s="2761">
        <f t="shared" si="222"/>
        <v>118170.689</v>
      </c>
      <c r="L94" s="2747">
        <f t="shared" si="222"/>
        <v>199000</v>
      </c>
      <c r="M94" s="2747">
        <f t="shared" si="222"/>
        <v>199000</v>
      </c>
      <c r="N94" s="2761">
        <f t="shared" si="222"/>
        <v>0</v>
      </c>
      <c r="O94" s="2747">
        <f t="shared" si="222"/>
        <v>159000</v>
      </c>
      <c r="P94" s="2761">
        <f t="shared" si="222"/>
        <v>0</v>
      </c>
      <c r="Q94" s="2761">
        <f t="shared" si="222"/>
        <v>0</v>
      </c>
      <c r="R94" s="2761">
        <f t="shared" si="222"/>
        <v>0</v>
      </c>
      <c r="S94" s="2761">
        <f t="shared" si="222"/>
        <v>0</v>
      </c>
      <c r="T94" s="2761">
        <f t="shared" si="222"/>
        <v>0</v>
      </c>
      <c r="U94" s="2761">
        <f t="shared" si="222"/>
        <v>0</v>
      </c>
      <c r="V94" s="2761">
        <f t="shared" si="222"/>
        <v>0</v>
      </c>
      <c r="W94" s="2761">
        <f t="shared" si="222"/>
        <v>0</v>
      </c>
      <c r="X94" s="2761">
        <f t="shared" si="222"/>
        <v>0</v>
      </c>
      <c r="Y94" s="2761">
        <f t="shared" si="222"/>
        <v>0</v>
      </c>
      <c r="Z94" s="2761">
        <f t="shared" si="222"/>
        <v>0</v>
      </c>
      <c r="AA94" s="2761">
        <f t="shared" si="222"/>
        <v>0</v>
      </c>
      <c r="AB94" s="2761">
        <f t="shared" si="222"/>
        <v>0</v>
      </c>
      <c r="AC94" s="2761">
        <f t="shared" si="222"/>
        <v>0</v>
      </c>
      <c r="AD94" s="2761">
        <f t="shared" si="222"/>
        <v>0</v>
      </c>
      <c r="AE94" s="2761">
        <f t="shared" si="222"/>
        <v>0</v>
      </c>
      <c r="AF94" s="2761">
        <f t="shared" si="222"/>
        <v>0</v>
      </c>
      <c r="AG94" s="2761">
        <f t="shared" si="222"/>
        <v>0</v>
      </c>
      <c r="AH94" s="2761">
        <f t="shared" si="222"/>
        <v>0</v>
      </c>
      <c r="AI94" s="2761">
        <f t="shared" si="222"/>
        <v>0</v>
      </c>
      <c r="AJ94" s="2761">
        <f t="shared" si="222"/>
        <v>0</v>
      </c>
      <c r="AK94" s="2761">
        <f t="shared" si="222"/>
        <v>0</v>
      </c>
      <c r="AL94" s="2761">
        <f t="shared" si="222"/>
        <v>0</v>
      </c>
      <c r="AM94" s="2761">
        <f t="shared" si="222"/>
        <v>0</v>
      </c>
      <c r="AN94" s="2761">
        <f t="shared" si="222"/>
        <v>0</v>
      </c>
      <c r="AO94" s="2761">
        <f t="shared" si="222"/>
        <v>0</v>
      </c>
      <c r="AP94" s="2761">
        <f t="shared" si="222"/>
        <v>0</v>
      </c>
      <c r="AQ94" s="2761">
        <f t="shared" si="222"/>
        <v>0</v>
      </c>
      <c r="AR94" s="2747">
        <f t="shared" si="222"/>
        <v>277170.68900000001</v>
      </c>
      <c r="AS94" s="2683">
        <f t="shared" ref="AS94" si="223">AS95+AS96</f>
        <v>0</v>
      </c>
      <c r="AT94" s="2715"/>
      <c r="AU94" s="2715"/>
      <c r="AV94" s="2715"/>
      <c r="AW94" s="2715"/>
      <c r="AX94" s="2715"/>
      <c r="AY94" s="2715"/>
      <c r="AZ94" s="2715"/>
      <c r="BA94" s="2715"/>
      <c r="BB94" s="2715"/>
      <c r="BC94" s="2715"/>
      <c r="BD94" s="2715"/>
      <c r="BE94" s="2715"/>
      <c r="BF94" s="2715"/>
      <c r="BG94" s="2715"/>
      <c r="BH94" s="2715"/>
    </row>
    <row r="95" spans="1:60" s="2716" customFormat="1" ht="16.5" customHeight="1" x14ac:dyDescent="0.25">
      <c r="A95" s="2732" t="s">
        <v>23</v>
      </c>
      <c r="B95" s="2733" t="s">
        <v>1118</v>
      </c>
      <c r="C95" s="2737">
        <f>J95+K95</f>
        <v>118170.689</v>
      </c>
      <c r="D95" s="2737"/>
      <c r="E95" s="2737"/>
      <c r="F95" s="2737"/>
      <c r="G95" s="2737"/>
      <c r="H95" s="2737"/>
      <c r="I95" s="2737"/>
      <c r="J95" s="2737"/>
      <c r="K95" s="2737">
        <v>118170.689</v>
      </c>
      <c r="L95" s="2736">
        <f>M95+P95</f>
        <v>159000</v>
      </c>
      <c r="M95" s="2736">
        <f>N95+O95</f>
        <v>159000</v>
      </c>
      <c r="N95" s="2752"/>
      <c r="O95" s="2736">
        <v>159000</v>
      </c>
      <c r="P95" s="2737"/>
      <c r="Q95" s="2737"/>
      <c r="R95" s="2737"/>
      <c r="S95" s="2737">
        <f>SUM(T95:AC95)</f>
        <v>0</v>
      </c>
      <c r="T95" s="2752"/>
      <c r="U95" s="2752"/>
      <c r="V95" s="2737">
        <f>W95+Z95</f>
        <v>0</v>
      </c>
      <c r="W95" s="2737">
        <f>X95+Y95</f>
        <v>0</v>
      </c>
      <c r="X95" s="2752"/>
      <c r="Y95" s="2737"/>
      <c r="Z95" s="2761">
        <f>AG95+AH95</f>
        <v>0</v>
      </c>
      <c r="AA95" s="2737"/>
      <c r="AB95" s="2737"/>
      <c r="AC95" s="2737"/>
      <c r="AD95" s="2737"/>
      <c r="AE95" s="2737"/>
      <c r="AF95" s="2737"/>
      <c r="AG95" s="2737"/>
      <c r="AH95" s="2737"/>
      <c r="AI95" s="2737"/>
      <c r="AJ95" s="2737"/>
      <c r="AK95" s="2737"/>
      <c r="AL95" s="2737"/>
      <c r="AM95" s="2737">
        <v>0</v>
      </c>
      <c r="AN95" s="2761"/>
      <c r="AO95" s="2737"/>
      <c r="AP95" s="2737">
        <f>V95-AC95</f>
        <v>0</v>
      </c>
      <c r="AQ95" s="2737"/>
      <c r="AR95" s="2736">
        <f>C95+L95</f>
        <v>277170.68900000001</v>
      </c>
      <c r="AS95" s="2682"/>
      <c r="AT95" s="2715"/>
      <c r="AU95" s="2715"/>
      <c r="AV95" s="2715"/>
      <c r="AW95" s="2715"/>
      <c r="AX95" s="2715"/>
      <c r="AY95" s="2715"/>
      <c r="AZ95" s="2715"/>
      <c r="BA95" s="2715"/>
      <c r="BB95" s="2715"/>
      <c r="BC95" s="2715"/>
      <c r="BD95" s="2715"/>
      <c r="BE95" s="2715"/>
      <c r="BF95" s="2715"/>
      <c r="BG95" s="2715"/>
      <c r="BH95" s="2715"/>
    </row>
    <row r="96" spans="1:60" s="2716" customFormat="1" ht="16.5" customHeight="1" x14ac:dyDescent="0.25">
      <c r="A96" s="2732" t="s">
        <v>23</v>
      </c>
      <c r="B96" s="2733" t="s">
        <v>1119</v>
      </c>
      <c r="C96" s="2737">
        <f t="shared" ref="C96:C97" si="224">J96+K96</f>
        <v>0</v>
      </c>
      <c r="D96" s="2737"/>
      <c r="E96" s="2737"/>
      <c r="F96" s="2737"/>
      <c r="G96" s="2737"/>
      <c r="H96" s="2737"/>
      <c r="I96" s="2737"/>
      <c r="J96" s="2737"/>
      <c r="K96" s="2737"/>
      <c r="L96" s="2736">
        <f t="shared" ref="L96:L97" si="225">M96+P96</f>
        <v>40000</v>
      </c>
      <c r="M96" s="2736">
        <f>N96+O100</f>
        <v>40000</v>
      </c>
      <c r="N96" s="2752"/>
      <c r="O96" s="2770"/>
      <c r="P96" s="2737"/>
      <c r="Q96" s="2737"/>
      <c r="R96" s="2737"/>
      <c r="S96" s="2737">
        <f t="shared" ref="S96:S97" si="226">SUM(T96:AC96)</f>
        <v>0</v>
      </c>
      <c r="T96" s="2752"/>
      <c r="U96" s="2752"/>
      <c r="V96" s="2737">
        <f t="shared" ref="V96:V97" si="227">W96+Z96</f>
        <v>0</v>
      </c>
      <c r="W96" s="2737">
        <f t="shared" ref="W96:W97" si="228">X96+Y96</f>
        <v>0</v>
      </c>
      <c r="X96" s="2752"/>
      <c r="Y96" s="2737"/>
      <c r="Z96" s="2761">
        <f>AG96+AH96</f>
        <v>0</v>
      </c>
      <c r="AA96" s="2737"/>
      <c r="AB96" s="2737"/>
      <c r="AC96" s="2766"/>
      <c r="AD96" s="2737"/>
      <c r="AE96" s="2737"/>
      <c r="AF96" s="2737"/>
      <c r="AG96" s="2737"/>
      <c r="AH96" s="2737"/>
      <c r="AI96" s="2737"/>
      <c r="AJ96" s="2737"/>
      <c r="AK96" s="2737"/>
      <c r="AL96" s="2737"/>
      <c r="AM96" s="2737">
        <v>0</v>
      </c>
      <c r="AN96" s="2761"/>
      <c r="AO96" s="2737"/>
      <c r="AP96" s="2737"/>
      <c r="AQ96" s="2737"/>
      <c r="AR96" s="2736"/>
      <c r="AS96" s="2682"/>
      <c r="AT96" s="2715"/>
      <c r="AU96" s="2715"/>
      <c r="AV96" s="2715"/>
      <c r="AW96" s="2715"/>
      <c r="AX96" s="2715"/>
      <c r="AY96" s="2715"/>
      <c r="AZ96" s="2715"/>
      <c r="BA96" s="2715"/>
      <c r="BB96" s="2715"/>
      <c r="BC96" s="2715"/>
      <c r="BD96" s="2715"/>
      <c r="BE96" s="2715"/>
      <c r="BF96" s="2715"/>
      <c r="BG96" s="2715"/>
      <c r="BH96" s="2715"/>
    </row>
    <row r="97" spans="1:60" s="2716" customFormat="1" ht="16.5" hidden="1" customHeight="1" x14ac:dyDescent="0.25">
      <c r="A97" s="2732" t="s">
        <v>23</v>
      </c>
      <c r="B97" s="2733" t="s">
        <v>502</v>
      </c>
      <c r="C97" s="2737">
        <f t="shared" si="224"/>
        <v>0</v>
      </c>
      <c r="D97" s="2737"/>
      <c r="E97" s="2737"/>
      <c r="F97" s="2737"/>
      <c r="G97" s="2737"/>
      <c r="H97" s="2737"/>
      <c r="I97" s="2737"/>
      <c r="J97" s="2737"/>
      <c r="K97" s="2737"/>
      <c r="L97" s="2736">
        <f t="shared" si="225"/>
        <v>0</v>
      </c>
      <c r="M97" s="2736">
        <f t="shared" ref="M97" si="229">N97+O97</f>
        <v>0</v>
      </c>
      <c r="N97" s="2752"/>
      <c r="O97" s="2736"/>
      <c r="P97" s="2737"/>
      <c r="Q97" s="2737"/>
      <c r="R97" s="2737"/>
      <c r="S97" s="2737">
        <f t="shared" si="226"/>
        <v>0</v>
      </c>
      <c r="T97" s="2752"/>
      <c r="U97" s="2752"/>
      <c r="V97" s="2737">
        <f t="shared" si="227"/>
        <v>0</v>
      </c>
      <c r="W97" s="2737">
        <f t="shared" si="228"/>
        <v>0</v>
      </c>
      <c r="X97" s="2752"/>
      <c r="Y97" s="2737"/>
      <c r="Z97" s="2737"/>
      <c r="AA97" s="2737"/>
      <c r="AB97" s="2737"/>
      <c r="AC97" s="2737"/>
      <c r="AD97" s="2737"/>
      <c r="AE97" s="2737"/>
      <c r="AF97" s="2737"/>
      <c r="AG97" s="2737"/>
      <c r="AH97" s="2737"/>
      <c r="AI97" s="2737"/>
      <c r="AJ97" s="2737"/>
      <c r="AK97" s="2737"/>
      <c r="AL97" s="2737"/>
      <c r="AM97" s="2737"/>
      <c r="AN97" s="2737"/>
      <c r="AO97" s="2737"/>
      <c r="AP97" s="2737"/>
      <c r="AQ97" s="2737"/>
      <c r="AR97" s="2736"/>
      <c r="AS97" s="2682"/>
      <c r="AT97" s="2715"/>
      <c r="AU97" s="2715"/>
      <c r="AV97" s="2715"/>
      <c r="AW97" s="2715"/>
      <c r="AX97" s="2715"/>
      <c r="AY97" s="2715"/>
      <c r="AZ97" s="2715"/>
      <c r="BA97" s="2715"/>
      <c r="BB97" s="2715"/>
      <c r="BC97" s="2715"/>
      <c r="BD97" s="2715"/>
      <c r="BE97" s="2715"/>
      <c r="BF97" s="2715"/>
      <c r="BG97" s="2715"/>
      <c r="BH97" s="2715"/>
    </row>
    <row r="98" spans="1:60" s="2716" customFormat="1" ht="77.25" customHeight="1" x14ac:dyDescent="0.25">
      <c r="A98" s="2732" t="s">
        <v>38</v>
      </c>
      <c r="B98" s="2742" t="s">
        <v>2153</v>
      </c>
      <c r="C98" s="2761">
        <f>SUM(C99:C101)</f>
        <v>0</v>
      </c>
      <c r="D98" s="2761">
        <f t="shared" ref="D98:AS98" si="230">SUM(D99:D101)</f>
        <v>0</v>
      </c>
      <c r="E98" s="2761">
        <f t="shared" si="230"/>
        <v>0</v>
      </c>
      <c r="F98" s="2761">
        <f t="shared" si="230"/>
        <v>0</v>
      </c>
      <c r="G98" s="2761">
        <f t="shared" si="230"/>
        <v>0</v>
      </c>
      <c r="H98" s="2761">
        <f t="shared" si="230"/>
        <v>0</v>
      </c>
      <c r="I98" s="2761">
        <f t="shared" si="230"/>
        <v>0</v>
      </c>
      <c r="J98" s="2761">
        <f t="shared" si="230"/>
        <v>0</v>
      </c>
      <c r="K98" s="2761">
        <f t="shared" si="230"/>
        <v>0</v>
      </c>
      <c r="L98" s="2747">
        <f t="shared" si="230"/>
        <v>1308240</v>
      </c>
      <c r="M98" s="2747">
        <f t="shared" si="230"/>
        <v>1308240</v>
      </c>
      <c r="N98" s="2761">
        <f t="shared" si="230"/>
        <v>0</v>
      </c>
      <c r="O98" s="2747">
        <f t="shared" si="230"/>
        <v>1308240</v>
      </c>
      <c r="P98" s="2761">
        <f t="shared" si="230"/>
        <v>0</v>
      </c>
      <c r="Q98" s="2761">
        <f t="shared" si="230"/>
        <v>0</v>
      </c>
      <c r="R98" s="2761">
        <f t="shared" si="230"/>
        <v>0</v>
      </c>
      <c r="S98" s="2761">
        <f t="shared" si="230"/>
        <v>14610</v>
      </c>
      <c r="T98" s="2761">
        <f t="shared" si="230"/>
        <v>0</v>
      </c>
      <c r="U98" s="2761">
        <f t="shared" si="230"/>
        <v>0</v>
      </c>
      <c r="V98" s="2761">
        <f t="shared" si="230"/>
        <v>0</v>
      </c>
      <c r="W98" s="2761">
        <f t="shared" si="230"/>
        <v>0</v>
      </c>
      <c r="X98" s="2761">
        <f t="shared" si="230"/>
        <v>0</v>
      </c>
      <c r="Y98" s="2761">
        <f t="shared" si="230"/>
        <v>0</v>
      </c>
      <c r="Z98" s="2761">
        <f t="shared" si="230"/>
        <v>0</v>
      </c>
      <c r="AA98" s="2761">
        <f t="shared" si="230"/>
        <v>0</v>
      </c>
      <c r="AB98" s="2761">
        <f t="shared" si="230"/>
        <v>0</v>
      </c>
      <c r="AC98" s="2761">
        <f t="shared" si="230"/>
        <v>14610</v>
      </c>
      <c r="AD98" s="2761">
        <f t="shared" si="230"/>
        <v>0</v>
      </c>
      <c r="AE98" s="2761">
        <f t="shared" si="230"/>
        <v>0</v>
      </c>
      <c r="AF98" s="2761">
        <f t="shared" si="230"/>
        <v>1293630</v>
      </c>
      <c r="AG98" s="2761">
        <f t="shared" si="230"/>
        <v>0</v>
      </c>
      <c r="AH98" s="2761">
        <f t="shared" si="230"/>
        <v>0</v>
      </c>
      <c r="AI98" s="2761">
        <f t="shared" si="230"/>
        <v>0</v>
      </c>
      <c r="AJ98" s="2761">
        <f t="shared" si="230"/>
        <v>0</v>
      </c>
      <c r="AK98" s="2761">
        <f t="shared" si="230"/>
        <v>0</v>
      </c>
      <c r="AL98" s="2761">
        <f t="shared" si="230"/>
        <v>0</v>
      </c>
      <c r="AM98" s="2761">
        <f t="shared" si="230"/>
        <v>0</v>
      </c>
      <c r="AN98" s="2761">
        <f t="shared" si="230"/>
        <v>0</v>
      </c>
      <c r="AO98" s="2761">
        <f t="shared" si="230"/>
        <v>0</v>
      </c>
      <c r="AP98" s="2761">
        <f t="shared" si="230"/>
        <v>0</v>
      </c>
      <c r="AQ98" s="2761">
        <f t="shared" si="230"/>
        <v>0</v>
      </c>
      <c r="AR98" s="2761">
        <f t="shared" si="230"/>
        <v>0</v>
      </c>
      <c r="AS98" s="2684">
        <f t="shared" si="230"/>
        <v>0</v>
      </c>
      <c r="AT98" s="2715"/>
      <c r="AU98" s="2715"/>
      <c r="AV98" s="2715"/>
      <c r="AW98" s="2715"/>
      <c r="AX98" s="2715"/>
      <c r="AY98" s="2715"/>
      <c r="AZ98" s="2715"/>
      <c r="BA98" s="2715"/>
      <c r="BB98" s="2715"/>
      <c r="BC98" s="2715"/>
      <c r="BD98" s="2715"/>
      <c r="BE98" s="2715"/>
      <c r="BF98" s="2715"/>
      <c r="BG98" s="2715"/>
      <c r="BH98" s="2715"/>
    </row>
    <row r="99" spans="1:60" s="2716" customFormat="1" ht="17.25" customHeight="1" x14ac:dyDescent="0.25">
      <c r="A99" s="2732" t="s">
        <v>23</v>
      </c>
      <c r="B99" s="2733" t="s">
        <v>1118</v>
      </c>
      <c r="C99" s="2737">
        <f>J99+K99</f>
        <v>0</v>
      </c>
      <c r="D99" s="2752"/>
      <c r="E99" s="2752"/>
      <c r="F99" s="2737"/>
      <c r="G99" s="2737"/>
      <c r="H99" s="2737"/>
      <c r="I99" s="2737"/>
      <c r="J99" s="2737"/>
      <c r="K99" s="2737"/>
      <c r="L99" s="2736">
        <f>M99+P99</f>
        <v>1268240</v>
      </c>
      <c r="M99" s="2736">
        <f>N99+O99</f>
        <v>1268240</v>
      </c>
      <c r="N99" s="2752"/>
      <c r="O99" s="2736">
        <v>1268240</v>
      </c>
      <c r="P99" s="2737"/>
      <c r="Q99" s="2737"/>
      <c r="R99" s="2737"/>
      <c r="S99" s="2736">
        <f>SUM(T99:AC99)</f>
        <v>13879.5</v>
      </c>
      <c r="T99" s="2759"/>
      <c r="U99" s="2759"/>
      <c r="V99" s="2736">
        <f>W99+Z99</f>
        <v>0</v>
      </c>
      <c r="W99" s="2736">
        <f>X99+Y99</f>
        <v>0</v>
      </c>
      <c r="X99" s="2759"/>
      <c r="Y99" s="2736"/>
      <c r="Z99" s="2761">
        <f>AG99+AH99</f>
        <v>0</v>
      </c>
      <c r="AA99" s="2737"/>
      <c r="AB99" s="2737"/>
      <c r="AC99" s="2736">
        <v>13879.5</v>
      </c>
      <c r="AD99" s="2736"/>
      <c r="AE99" s="2736"/>
      <c r="AF99" s="2736">
        <f>L99-S99</f>
        <v>1254360.5</v>
      </c>
      <c r="AG99" s="2737"/>
      <c r="AH99" s="2737"/>
      <c r="AI99" s="2737"/>
      <c r="AJ99" s="2737"/>
      <c r="AK99" s="2737"/>
      <c r="AL99" s="2737"/>
      <c r="AM99" s="2737">
        <v>0</v>
      </c>
      <c r="AN99" s="2761"/>
      <c r="AO99" s="2737"/>
      <c r="AP99" s="2736"/>
      <c r="AQ99" s="2736"/>
      <c r="AR99" s="2736"/>
      <c r="AS99" s="2682"/>
      <c r="AT99" s="2715"/>
      <c r="AU99" s="2715"/>
      <c r="AV99" s="2715"/>
      <c r="AW99" s="2715"/>
      <c r="AX99" s="2715"/>
      <c r="AY99" s="2715"/>
      <c r="AZ99" s="2715"/>
      <c r="BA99" s="2715"/>
      <c r="BB99" s="2715"/>
      <c r="BC99" s="2715"/>
      <c r="BD99" s="2715"/>
      <c r="BE99" s="2715"/>
      <c r="BF99" s="2715"/>
      <c r="BG99" s="2715"/>
      <c r="BH99" s="2715"/>
    </row>
    <row r="100" spans="1:60" s="2716" customFormat="1" ht="17.25" customHeight="1" x14ac:dyDescent="0.25">
      <c r="A100" s="2732" t="s">
        <v>23</v>
      </c>
      <c r="B100" s="2733" t="s">
        <v>1119</v>
      </c>
      <c r="C100" s="2737">
        <f t="shared" ref="C100:C101" si="231">J100+K100</f>
        <v>0</v>
      </c>
      <c r="D100" s="2752"/>
      <c r="E100" s="2752"/>
      <c r="F100" s="2737"/>
      <c r="G100" s="2737"/>
      <c r="H100" s="2737"/>
      <c r="I100" s="2737"/>
      <c r="J100" s="2737"/>
      <c r="K100" s="2737"/>
      <c r="L100" s="2736">
        <f t="shared" ref="L100:L101" si="232">M100+P100</f>
        <v>40000</v>
      </c>
      <c r="M100" s="2736">
        <f>N100+O100</f>
        <v>40000</v>
      </c>
      <c r="N100" s="2752"/>
      <c r="O100" s="2736">
        <v>40000</v>
      </c>
      <c r="P100" s="2737"/>
      <c r="Q100" s="2737"/>
      <c r="R100" s="2737"/>
      <c r="S100" s="2736">
        <f>SUM(T100:AC100)</f>
        <v>730.5</v>
      </c>
      <c r="T100" s="2759"/>
      <c r="U100" s="2759"/>
      <c r="V100" s="2736">
        <f t="shared" ref="V100:V101" si="233">W100+Z100</f>
        <v>0</v>
      </c>
      <c r="W100" s="2736">
        <f t="shared" ref="W100:W101" si="234">X100+Y100</f>
        <v>0</v>
      </c>
      <c r="X100" s="2759"/>
      <c r="Y100" s="2736"/>
      <c r="Z100" s="2761">
        <f>AG100+AH100</f>
        <v>0</v>
      </c>
      <c r="AA100" s="2737"/>
      <c r="AB100" s="2737"/>
      <c r="AC100" s="2736">
        <v>730.5</v>
      </c>
      <c r="AD100" s="2736"/>
      <c r="AE100" s="2736"/>
      <c r="AF100" s="2736">
        <f>L100-S100</f>
        <v>39269.5</v>
      </c>
      <c r="AG100" s="2737"/>
      <c r="AH100" s="2737"/>
      <c r="AI100" s="2737"/>
      <c r="AJ100" s="2737"/>
      <c r="AK100" s="2737"/>
      <c r="AL100" s="2737"/>
      <c r="AM100" s="2737">
        <v>0</v>
      </c>
      <c r="AN100" s="2761"/>
      <c r="AO100" s="2737"/>
      <c r="AP100" s="2736"/>
      <c r="AQ100" s="2736"/>
      <c r="AR100" s="2736"/>
      <c r="AS100" s="2682"/>
      <c r="AT100" s="2715"/>
      <c r="AU100" s="2715"/>
      <c r="AV100" s="2715"/>
      <c r="AW100" s="2715"/>
      <c r="AX100" s="2715"/>
      <c r="AY100" s="2715"/>
      <c r="AZ100" s="2715"/>
      <c r="BA100" s="2715"/>
      <c r="BB100" s="2715"/>
      <c r="BC100" s="2715"/>
      <c r="BD100" s="2715"/>
      <c r="BE100" s="2715"/>
      <c r="BF100" s="2715"/>
      <c r="BG100" s="2715"/>
      <c r="BH100" s="2715"/>
    </row>
    <row r="101" spans="1:60" s="2716" customFormat="1" ht="17.25" hidden="1" customHeight="1" x14ac:dyDescent="0.25">
      <c r="A101" s="2732" t="s">
        <v>23</v>
      </c>
      <c r="B101" s="2733" t="s">
        <v>502</v>
      </c>
      <c r="C101" s="2737">
        <f t="shared" si="231"/>
        <v>0</v>
      </c>
      <c r="D101" s="2752"/>
      <c r="E101" s="2752"/>
      <c r="F101" s="2737"/>
      <c r="G101" s="2737"/>
      <c r="H101" s="2737"/>
      <c r="I101" s="2737"/>
      <c r="J101" s="2737"/>
      <c r="K101" s="2737"/>
      <c r="L101" s="2736">
        <f t="shared" si="232"/>
        <v>0</v>
      </c>
      <c r="M101" s="2736">
        <f t="shared" ref="M101" si="235">N101+O101</f>
        <v>0</v>
      </c>
      <c r="N101" s="2752"/>
      <c r="O101" s="2736"/>
      <c r="P101" s="2737"/>
      <c r="Q101" s="2737"/>
      <c r="R101" s="2737"/>
      <c r="S101" s="2736">
        <f t="shared" ref="S101" si="236">SUM(T101:AC101)</f>
        <v>0</v>
      </c>
      <c r="T101" s="2759"/>
      <c r="U101" s="2759"/>
      <c r="V101" s="2736">
        <f t="shared" si="233"/>
        <v>0</v>
      </c>
      <c r="W101" s="2736">
        <f t="shared" si="234"/>
        <v>0</v>
      </c>
      <c r="X101" s="2759"/>
      <c r="Y101" s="2736"/>
      <c r="Z101" s="2737"/>
      <c r="AA101" s="2737"/>
      <c r="AB101" s="2737"/>
      <c r="AC101" s="2736"/>
      <c r="AD101" s="2736"/>
      <c r="AE101" s="2736"/>
      <c r="AF101" s="2736"/>
      <c r="AG101" s="2737"/>
      <c r="AH101" s="2737"/>
      <c r="AI101" s="2737"/>
      <c r="AJ101" s="2737"/>
      <c r="AK101" s="2737"/>
      <c r="AL101" s="2737"/>
      <c r="AM101" s="2737"/>
      <c r="AN101" s="2737"/>
      <c r="AO101" s="2737"/>
      <c r="AP101" s="2736"/>
      <c r="AQ101" s="2736"/>
      <c r="AR101" s="2736"/>
      <c r="AS101" s="2682"/>
      <c r="AT101" s="2715"/>
      <c r="AU101" s="2715"/>
      <c r="AV101" s="2715"/>
      <c r="AW101" s="2715"/>
      <c r="AX101" s="2715"/>
      <c r="AY101" s="2715"/>
      <c r="AZ101" s="2715"/>
      <c r="BA101" s="2715"/>
      <c r="BB101" s="2715"/>
      <c r="BC101" s="2715"/>
      <c r="BD101" s="2715"/>
      <c r="BE101" s="2715"/>
      <c r="BF101" s="2715"/>
      <c r="BG101" s="2715"/>
      <c r="BH101" s="2715"/>
    </row>
    <row r="102" spans="1:60" s="2716" customFormat="1" ht="60" customHeight="1" x14ac:dyDescent="0.25">
      <c r="A102" s="2732" t="s">
        <v>39</v>
      </c>
      <c r="B102" s="2742" t="s">
        <v>2154</v>
      </c>
      <c r="C102" s="2761">
        <f>SUM(C103:C105)</f>
        <v>997.04</v>
      </c>
      <c r="D102" s="2761">
        <f t="shared" ref="D102:AR102" si="237">SUM(D103:D105)</f>
        <v>0</v>
      </c>
      <c r="E102" s="2761">
        <f t="shared" si="237"/>
        <v>0</v>
      </c>
      <c r="F102" s="2761">
        <f t="shared" si="237"/>
        <v>0</v>
      </c>
      <c r="G102" s="2761">
        <f t="shared" si="237"/>
        <v>0</v>
      </c>
      <c r="H102" s="2761">
        <f t="shared" si="237"/>
        <v>0</v>
      </c>
      <c r="I102" s="2761">
        <f t="shared" si="237"/>
        <v>0</v>
      </c>
      <c r="J102" s="2761">
        <f t="shared" si="237"/>
        <v>0</v>
      </c>
      <c r="K102" s="2761">
        <f t="shared" si="237"/>
        <v>997.04</v>
      </c>
      <c r="L102" s="2747">
        <f t="shared" si="237"/>
        <v>5000</v>
      </c>
      <c r="M102" s="2747">
        <f t="shared" si="237"/>
        <v>5000</v>
      </c>
      <c r="N102" s="2761">
        <f t="shared" si="237"/>
        <v>0</v>
      </c>
      <c r="O102" s="2747">
        <f t="shared" si="237"/>
        <v>5000</v>
      </c>
      <c r="P102" s="2761">
        <f t="shared" si="237"/>
        <v>0</v>
      </c>
      <c r="Q102" s="2761">
        <f t="shared" si="237"/>
        <v>0</v>
      </c>
      <c r="R102" s="2761">
        <f t="shared" si="237"/>
        <v>0</v>
      </c>
      <c r="S102" s="2761">
        <f t="shared" si="237"/>
        <v>0</v>
      </c>
      <c r="T102" s="2761">
        <f t="shared" si="237"/>
        <v>0</v>
      </c>
      <c r="U102" s="2761">
        <f t="shared" si="237"/>
        <v>0</v>
      </c>
      <c r="V102" s="2761">
        <f t="shared" si="237"/>
        <v>0</v>
      </c>
      <c r="W102" s="2761">
        <f t="shared" si="237"/>
        <v>0</v>
      </c>
      <c r="X102" s="2761">
        <f t="shared" si="237"/>
        <v>0</v>
      </c>
      <c r="Y102" s="2761">
        <f t="shared" si="237"/>
        <v>0</v>
      </c>
      <c r="Z102" s="2761">
        <f t="shared" si="237"/>
        <v>0</v>
      </c>
      <c r="AA102" s="2761">
        <f t="shared" si="237"/>
        <v>0</v>
      </c>
      <c r="AB102" s="2761">
        <f t="shared" si="237"/>
        <v>0</v>
      </c>
      <c r="AC102" s="2761">
        <f t="shared" si="237"/>
        <v>0</v>
      </c>
      <c r="AD102" s="2761">
        <f t="shared" si="237"/>
        <v>0</v>
      </c>
      <c r="AE102" s="2761">
        <f t="shared" si="237"/>
        <v>0</v>
      </c>
      <c r="AF102" s="2761">
        <f t="shared" si="237"/>
        <v>0</v>
      </c>
      <c r="AG102" s="2761">
        <f t="shared" si="237"/>
        <v>0</v>
      </c>
      <c r="AH102" s="2761">
        <f t="shared" si="237"/>
        <v>0</v>
      </c>
      <c r="AI102" s="2761">
        <f t="shared" si="237"/>
        <v>0</v>
      </c>
      <c r="AJ102" s="2761">
        <f t="shared" si="237"/>
        <v>0</v>
      </c>
      <c r="AK102" s="2761">
        <f t="shared" si="237"/>
        <v>0</v>
      </c>
      <c r="AL102" s="2761">
        <f t="shared" si="237"/>
        <v>0</v>
      </c>
      <c r="AM102" s="2761">
        <f t="shared" si="237"/>
        <v>0</v>
      </c>
      <c r="AN102" s="2761">
        <f t="shared" si="237"/>
        <v>0</v>
      </c>
      <c r="AO102" s="2761">
        <f t="shared" si="237"/>
        <v>0</v>
      </c>
      <c r="AP102" s="2761">
        <f t="shared" si="237"/>
        <v>0</v>
      </c>
      <c r="AQ102" s="2761">
        <f t="shared" si="237"/>
        <v>0</v>
      </c>
      <c r="AR102" s="2747">
        <f t="shared" si="237"/>
        <v>5997.04</v>
      </c>
      <c r="AS102" s="2683">
        <f t="shared" ref="AS102" si="238">AS103+AS104</f>
        <v>0</v>
      </c>
      <c r="AT102" s="2715"/>
      <c r="AU102" s="2715"/>
      <c r="AV102" s="2715"/>
      <c r="AW102" s="2715"/>
      <c r="AX102" s="2715"/>
      <c r="AY102" s="2715"/>
      <c r="AZ102" s="2715"/>
      <c r="BA102" s="2715"/>
      <c r="BB102" s="2715"/>
      <c r="BC102" s="2715"/>
      <c r="BD102" s="2715"/>
      <c r="BE102" s="2715"/>
      <c r="BF102" s="2715"/>
      <c r="BG102" s="2715"/>
      <c r="BH102" s="2715"/>
    </row>
    <row r="103" spans="1:60" s="2716" customFormat="1" ht="16.5" customHeight="1" x14ac:dyDescent="0.25">
      <c r="A103" s="2732" t="s">
        <v>23</v>
      </c>
      <c r="B103" s="2733" t="s">
        <v>1118</v>
      </c>
      <c r="C103" s="2737">
        <f>J103+K103</f>
        <v>997.04</v>
      </c>
      <c r="D103" s="2752"/>
      <c r="E103" s="2752"/>
      <c r="F103" s="2737"/>
      <c r="G103" s="2737"/>
      <c r="H103" s="2737"/>
      <c r="I103" s="2737"/>
      <c r="J103" s="2737"/>
      <c r="K103" s="2737">
        <v>997.04</v>
      </c>
      <c r="L103" s="2736">
        <f>M103+P103</f>
        <v>5000</v>
      </c>
      <c r="M103" s="2736">
        <f>N103+O103</f>
        <v>5000</v>
      </c>
      <c r="N103" s="2752"/>
      <c r="O103" s="2736">
        <v>5000</v>
      </c>
      <c r="P103" s="2737"/>
      <c r="Q103" s="2737"/>
      <c r="R103" s="2737"/>
      <c r="S103" s="2737">
        <f>SUM(T103:AC103)</f>
        <v>0</v>
      </c>
      <c r="T103" s="2752"/>
      <c r="U103" s="2752"/>
      <c r="V103" s="2737">
        <f>W103+Z103</f>
        <v>0</v>
      </c>
      <c r="W103" s="2737">
        <f>X103+Y103</f>
        <v>0</v>
      </c>
      <c r="X103" s="2752"/>
      <c r="Y103" s="2737"/>
      <c r="Z103" s="2761">
        <f>AG103+AH103</f>
        <v>0</v>
      </c>
      <c r="AA103" s="2737"/>
      <c r="AB103" s="2737"/>
      <c r="AC103" s="2737"/>
      <c r="AD103" s="2737"/>
      <c r="AE103" s="2737"/>
      <c r="AF103" s="2737"/>
      <c r="AG103" s="2737"/>
      <c r="AH103" s="2737"/>
      <c r="AI103" s="2737"/>
      <c r="AJ103" s="2737"/>
      <c r="AK103" s="2737"/>
      <c r="AL103" s="2737"/>
      <c r="AM103" s="2737">
        <v>0</v>
      </c>
      <c r="AN103" s="2761"/>
      <c r="AO103" s="2737"/>
      <c r="AP103" s="2737">
        <f>V103-AC103</f>
        <v>0</v>
      </c>
      <c r="AQ103" s="2737"/>
      <c r="AR103" s="2736">
        <f>C103+L103</f>
        <v>5997.04</v>
      </c>
      <c r="AS103" s="2682"/>
      <c r="AT103" s="2715"/>
      <c r="AU103" s="2715"/>
      <c r="AV103" s="2715"/>
      <c r="AW103" s="2715"/>
      <c r="AX103" s="2715"/>
      <c r="AY103" s="2715"/>
      <c r="AZ103" s="2715"/>
      <c r="BA103" s="2715"/>
      <c r="BB103" s="2715"/>
      <c r="BC103" s="2715"/>
      <c r="BD103" s="2715"/>
      <c r="BE103" s="2715"/>
      <c r="BF103" s="2715"/>
      <c r="BG103" s="2715"/>
      <c r="BH103" s="2715"/>
    </row>
    <row r="104" spans="1:60" s="2716" customFormat="1" ht="16.5" customHeight="1" x14ac:dyDescent="0.25">
      <c r="A104" s="2732" t="s">
        <v>23</v>
      </c>
      <c r="B104" s="2733" t="s">
        <v>1119</v>
      </c>
      <c r="C104" s="2737">
        <f t="shared" ref="C104:C105" si="239">J104+K104</f>
        <v>0</v>
      </c>
      <c r="D104" s="2752"/>
      <c r="E104" s="2752"/>
      <c r="F104" s="2737"/>
      <c r="G104" s="2737"/>
      <c r="H104" s="2737"/>
      <c r="I104" s="2737"/>
      <c r="J104" s="2737"/>
      <c r="K104" s="2737"/>
      <c r="L104" s="2736">
        <f t="shared" ref="L104:L105" si="240">M104+P104</f>
        <v>0</v>
      </c>
      <c r="M104" s="2736">
        <f t="shared" ref="M104:M105" si="241">N104+O104</f>
        <v>0</v>
      </c>
      <c r="N104" s="2752"/>
      <c r="O104" s="2736"/>
      <c r="P104" s="2737"/>
      <c r="Q104" s="2737"/>
      <c r="R104" s="2737"/>
      <c r="S104" s="2737">
        <f t="shared" ref="S104:S105" si="242">SUM(T104:AC104)</f>
        <v>0</v>
      </c>
      <c r="T104" s="2752"/>
      <c r="U104" s="2752"/>
      <c r="V104" s="2737">
        <f t="shared" ref="V104:V105" si="243">W104+Z104</f>
        <v>0</v>
      </c>
      <c r="W104" s="2737">
        <f t="shared" ref="W104:W105" si="244">X104+Y104</f>
        <v>0</v>
      </c>
      <c r="X104" s="2752"/>
      <c r="Y104" s="2737"/>
      <c r="Z104" s="2761">
        <f>AG104+AH104</f>
        <v>0</v>
      </c>
      <c r="AA104" s="2737"/>
      <c r="AB104" s="2737"/>
      <c r="AC104" s="2737"/>
      <c r="AD104" s="2737"/>
      <c r="AE104" s="2737"/>
      <c r="AF104" s="2737"/>
      <c r="AG104" s="2737"/>
      <c r="AH104" s="2737"/>
      <c r="AI104" s="2737"/>
      <c r="AJ104" s="2737"/>
      <c r="AK104" s="2737"/>
      <c r="AL104" s="2737"/>
      <c r="AM104" s="2737">
        <v>0</v>
      </c>
      <c r="AN104" s="2761"/>
      <c r="AO104" s="2737"/>
      <c r="AP104" s="2737">
        <f>V104-AC104</f>
        <v>0</v>
      </c>
      <c r="AQ104" s="2737"/>
      <c r="AR104" s="2737">
        <f>C104+L104</f>
        <v>0</v>
      </c>
      <c r="AS104" s="2682"/>
      <c r="AT104" s="2715"/>
      <c r="AU104" s="2715"/>
      <c r="AV104" s="2715"/>
      <c r="AW104" s="2715"/>
      <c r="AX104" s="2715"/>
      <c r="AY104" s="2715"/>
      <c r="AZ104" s="2715"/>
      <c r="BA104" s="2715"/>
      <c r="BB104" s="2715"/>
      <c r="BC104" s="2715"/>
      <c r="BD104" s="2715"/>
      <c r="BE104" s="2715"/>
      <c r="BF104" s="2715"/>
      <c r="BG104" s="2715"/>
      <c r="BH104" s="2715"/>
    </row>
    <row r="105" spans="1:60" s="2716" customFormat="1" ht="16.5" hidden="1" customHeight="1" x14ac:dyDescent="0.25">
      <c r="A105" s="2732" t="s">
        <v>23</v>
      </c>
      <c r="B105" s="2733" t="s">
        <v>502</v>
      </c>
      <c r="C105" s="2737">
        <f t="shared" si="239"/>
        <v>0</v>
      </c>
      <c r="D105" s="2752"/>
      <c r="E105" s="2752"/>
      <c r="F105" s="2737"/>
      <c r="G105" s="2737"/>
      <c r="H105" s="2737"/>
      <c r="I105" s="2737"/>
      <c r="J105" s="2737"/>
      <c r="K105" s="2737"/>
      <c r="L105" s="2736">
        <f t="shared" si="240"/>
        <v>0</v>
      </c>
      <c r="M105" s="2736">
        <f t="shared" si="241"/>
        <v>0</v>
      </c>
      <c r="N105" s="2752"/>
      <c r="O105" s="2736"/>
      <c r="P105" s="2737"/>
      <c r="Q105" s="2737"/>
      <c r="R105" s="2737"/>
      <c r="S105" s="2736">
        <f t="shared" si="242"/>
        <v>0</v>
      </c>
      <c r="T105" s="2759"/>
      <c r="U105" s="2759"/>
      <c r="V105" s="2736">
        <f t="shared" si="243"/>
        <v>0</v>
      </c>
      <c r="W105" s="2736">
        <f t="shared" si="244"/>
        <v>0</v>
      </c>
      <c r="X105" s="2759"/>
      <c r="Y105" s="2736"/>
      <c r="Z105" s="2737"/>
      <c r="AA105" s="2737"/>
      <c r="AB105" s="2737"/>
      <c r="AC105" s="2736"/>
      <c r="AD105" s="2736"/>
      <c r="AE105" s="2736"/>
      <c r="AF105" s="2736"/>
      <c r="AG105" s="2737"/>
      <c r="AH105" s="2737"/>
      <c r="AI105" s="2737"/>
      <c r="AJ105" s="2737"/>
      <c r="AK105" s="2737"/>
      <c r="AL105" s="2737"/>
      <c r="AM105" s="2737"/>
      <c r="AN105" s="2737"/>
      <c r="AO105" s="2737"/>
      <c r="AP105" s="2736"/>
      <c r="AQ105" s="2736"/>
      <c r="AR105" s="2736"/>
      <c r="AS105" s="2682"/>
      <c r="AT105" s="2715"/>
      <c r="AU105" s="2715"/>
      <c r="AV105" s="2715"/>
      <c r="AW105" s="2715"/>
      <c r="AX105" s="2715"/>
      <c r="AY105" s="2715"/>
      <c r="AZ105" s="2715"/>
      <c r="BA105" s="2715"/>
      <c r="BB105" s="2715"/>
      <c r="BC105" s="2715"/>
      <c r="BD105" s="2715"/>
      <c r="BE105" s="2715"/>
      <c r="BF105" s="2715"/>
      <c r="BG105" s="2715"/>
      <c r="BH105" s="2715"/>
    </row>
    <row r="106" spans="1:60" s="2679" customFormat="1" ht="66" customHeight="1" x14ac:dyDescent="0.25">
      <c r="A106" s="2726">
        <v>2</v>
      </c>
      <c r="B106" s="2731" t="s">
        <v>1423</v>
      </c>
      <c r="C106" s="2728">
        <f>SUM(C107:I109)</f>
        <v>0</v>
      </c>
      <c r="D106" s="2739"/>
      <c r="E106" s="2739"/>
      <c r="F106" s="2739"/>
      <c r="G106" s="2739"/>
      <c r="H106" s="2739"/>
      <c r="I106" s="2739"/>
      <c r="J106" s="2739"/>
      <c r="K106" s="2739"/>
      <c r="L106" s="2750">
        <f>L107+L108</f>
        <v>51000</v>
      </c>
      <c r="M106" s="2750">
        <f>M107+M108</f>
        <v>51000</v>
      </c>
      <c r="N106" s="2739"/>
      <c r="O106" s="2750">
        <f>O107+O108</f>
        <v>51000</v>
      </c>
      <c r="P106" s="2751">
        <f>P107+P108</f>
        <v>0</v>
      </c>
      <c r="Q106" s="2752"/>
      <c r="R106" s="2751">
        <f>R107+R108</f>
        <v>0</v>
      </c>
      <c r="S106" s="2750">
        <f>S107+S108</f>
        <v>51000</v>
      </c>
      <c r="T106" s="2750">
        <f t="shared" ref="T106:AR106" si="245">T107+T108</f>
        <v>0</v>
      </c>
      <c r="U106" s="2750">
        <f t="shared" si="245"/>
        <v>0</v>
      </c>
      <c r="V106" s="2750">
        <f t="shared" si="245"/>
        <v>0</v>
      </c>
      <c r="W106" s="2750">
        <f t="shared" si="245"/>
        <v>0</v>
      </c>
      <c r="X106" s="2750">
        <f t="shared" si="245"/>
        <v>0</v>
      </c>
      <c r="Y106" s="2750">
        <f t="shared" si="245"/>
        <v>0</v>
      </c>
      <c r="Z106" s="2751">
        <f t="shared" si="245"/>
        <v>0</v>
      </c>
      <c r="AA106" s="2751">
        <f t="shared" si="245"/>
        <v>0</v>
      </c>
      <c r="AB106" s="2751">
        <f t="shared" si="245"/>
        <v>0</v>
      </c>
      <c r="AC106" s="2750">
        <f t="shared" si="245"/>
        <v>51000</v>
      </c>
      <c r="AD106" s="2751">
        <f t="shared" si="245"/>
        <v>0</v>
      </c>
      <c r="AE106" s="2751">
        <f t="shared" si="245"/>
        <v>0</v>
      </c>
      <c r="AF106" s="2751">
        <f t="shared" si="245"/>
        <v>0</v>
      </c>
      <c r="AG106" s="2751">
        <f t="shared" si="245"/>
        <v>0</v>
      </c>
      <c r="AH106" s="2751">
        <f t="shared" si="245"/>
        <v>0</v>
      </c>
      <c r="AI106" s="2751">
        <f t="shared" si="245"/>
        <v>0</v>
      </c>
      <c r="AJ106" s="2751">
        <f t="shared" si="245"/>
        <v>0</v>
      </c>
      <c r="AK106" s="2751">
        <f t="shared" si="245"/>
        <v>0</v>
      </c>
      <c r="AL106" s="2751">
        <f t="shared" si="245"/>
        <v>0</v>
      </c>
      <c r="AM106" s="2751">
        <f t="shared" si="245"/>
        <v>0</v>
      </c>
      <c r="AN106" s="2751">
        <f t="shared" si="245"/>
        <v>0</v>
      </c>
      <c r="AO106" s="2751">
        <f t="shared" si="245"/>
        <v>0</v>
      </c>
      <c r="AP106" s="2751">
        <f t="shared" si="245"/>
        <v>0</v>
      </c>
      <c r="AQ106" s="2751">
        <f t="shared" si="245"/>
        <v>0</v>
      </c>
      <c r="AR106" s="2751">
        <f t="shared" si="245"/>
        <v>0</v>
      </c>
      <c r="AS106" s="2677"/>
      <c r="AT106" s="2678"/>
      <c r="AU106" s="2678"/>
      <c r="AV106" s="2678"/>
      <c r="AW106" s="2678"/>
      <c r="AX106" s="2678"/>
      <c r="AY106" s="2678"/>
      <c r="AZ106" s="2678"/>
      <c r="BA106" s="2678"/>
      <c r="BB106" s="2678"/>
      <c r="BC106" s="2678"/>
      <c r="BD106" s="2678"/>
      <c r="BE106" s="2678"/>
      <c r="BF106" s="2678"/>
      <c r="BG106" s="2678"/>
      <c r="BH106" s="2678"/>
    </row>
    <row r="107" spans="1:60" s="2716" customFormat="1" ht="16.5" customHeight="1" x14ac:dyDescent="0.25">
      <c r="A107" s="2732" t="s">
        <v>23</v>
      </c>
      <c r="B107" s="2733" t="s">
        <v>1118</v>
      </c>
      <c r="C107" s="2761">
        <f t="shared" si="208"/>
        <v>0</v>
      </c>
      <c r="D107" s="2737"/>
      <c r="E107" s="2737"/>
      <c r="F107" s="2737"/>
      <c r="G107" s="2737"/>
      <c r="H107" s="2737"/>
      <c r="I107" s="2737"/>
      <c r="J107" s="2737"/>
      <c r="K107" s="2737"/>
      <c r="L107" s="2736">
        <f>M107+P107</f>
        <v>49000</v>
      </c>
      <c r="M107" s="2736">
        <f>N107+O107</f>
        <v>49000</v>
      </c>
      <c r="N107" s="2737"/>
      <c r="O107" s="2736">
        <v>49000</v>
      </c>
      <c r="P107" s="2761">
        <f>W107+X107</f>
        <v>0</v>
      </c>
      <c r="Q107" s="2737"/>
      <c r="R107" s="2737"/>
      <c r="S107" s="2736">
        <f>SUM(Z107:AC107)</f>
        <v>49000</v>
      </c>
      <c r="T107" s="2736"/>
      <c r="U107" s="2736"/>
      <c r="V107" s="2736"/>
      <c r="W107" s="2736"/>
      <c r="X107" s="2736"/>
      <c r="Y107" s="2736"/>
      <c r="Z107" s="2737"/>
      <c r="AA107" s="2737"/>
      <c r="AB107" s="2737"/>
      <c r="AC107" s="2736">
        <v>49000</v>
      </c>
      <c r="AD107" s="2761">
        <f>AE107+AF107</f>
        <v>0</v>
      </c>
      <c r="AE107" s="2737"/>
      <c r="AF107" s="2737">
        <f>L107-S107</f>
        <v>0</v>
      </c>
      <c r="AG107" s="2737"/>
      <c r="AH107" s="2737"/>
      <c r="AI107" s="2737"/>
      <c r="AJ107" s="2737"/>
      <c r="AK107" s="2737"/>
      <c r="AL107" s="2737"/>
      <c r="AM107" s="2737"/>
      <c r="AN107" s="2737"/>
      <c r="AO107" s="2737"/>
      <c r="AP107" s="2737"/>
      <c r="AQ107" s="2737"/>
      <c r="AR107" s="2736"/>
      <c r="AS107" s="2682"/>
      <c r="AT107" s="2715"/>
      <c r="AU107" s="2715"/>
      <c r="AV107" s="2715"/>
      <c r="AW107" s="2715"/>
      <c r="AX107" s="2715"/>
      <c r="AY107" s="2715"/>
      <c r="AZ107" s="2715"/>
      <c r="BA107" s="2715"/>
      <c r="BB107" s="2715"/>
      <c r="BC107" s="2715"/>
      <c r="BD107" s="2715"/>
      <c r="BE107" s="2715"/>
      <c r="BF107" s="2715"/>
      <c r="BG107" s="2715"/>
      <c r="BH107" s="2715"/>
    </row>
    <row r="108" spans="1:60" s="2716" customFormat="1" ht="16.5" customHeight="1" x14ac:dyDescent="0.25">
      <c r="A108" s="2732" t="s">
        <v>23</v>
      </c>
      <c r="B108" s="2733" t="s">
        <v>1119</v>
      </c>
      <c r="C108" s="2761">
        <f t="shared" si="208"/>
        <v>0</v>
      </c>
      <c r="D108" s="2737"/>
      <c r="E108" s="2737"/>
      <c r="F108" s="2737"/>
      <c r="G108" s="2737"/>
      <c r="H108" s="2737"/>
      <c r="I108" s="2737"/>
      <c r="J108" s="2737"/>
      <c r="K108" s="2737"/>
      <c r="L108" s="2736">
        <f t="shared" ref="L108:L109" si="246">M108+P108</f>
        <v>2000</v>
      </c>
      <c r="M108" s="2736">
        <f t="shared" ref="M108:M109" si="247">N108+O108</f>
        <v>2000</v>
      </c>
      <c r="N108" s="2737"/>
      <c r="O108" s="2736">
        <v>2000</v>
      </c>
      <c r="P108" s="2761">
        <f>W108+X108</f>
        <v>0</v>
      </c>
      <c r="Q108" s="2737"/>
      <c r="R108" s="2737"/>
      <c r="S108" s="2736">
        <f>SUM(Z108:AC108)</f>
        <v>2000</v>
      </c>
      <c r="T108" s="2736"/>
      <c r="U108" s="2736"/>
      <c r="V108" s="2736"/>
      <c r="W108" s="2736"/>
      <c r="X108" s="2736"/>
      <c r="Y108" s="2736"/>
      <c r="Z108" s="2737"/>
      <c r="AA108" s="2737"/>
      <c r="AB108" s="2737"/>
      <c r="AC108" s="2736">
        <v>2000</v>
      </c>
      <c r="AD108" s="2761">
        <f>AE108+AF108</f>
        <v>0</v>
      </c>
      <c r="AE108" s="2737"/>
      <c r="AF108" s="2737">
        <f>L108-S108</f>
        <v>0</v>
      </c>
      <c r="AG108" s="2737"/>
      <c r="AH108" s="2737"/>
      <c r="AI108" s="2737"/>
      <c r="AJ108" s="2737"/>
      <c r="AK108" s="2737"/>
      <c r="AL108" s="2737"/>
      <c r="AM108" s="2737"/>
      <c r="AN108" s="2737"/>
      <c r="AO108" s="2737"/>
      <c r="AP108" s="2737"/>
      <c r="AQ108" s="2737"/>
      <c r="AR108" s="2736"/>
      <c r="AS108" s="2682"/>
      <c r="AT108" s="2715"/>
      <c r="AU108" s="2715"/>
      <c r="AV108" s="2715"/>
      <c r="AW108" s="2715"/>
      <c r="AX108" s="2715"/>
      <c r="AY108" s="2715"/>
      <c r="AZ108" s="2715"/>
      <c r="BA108" s="2715"/>
      <c r="BB108" s="2715"/>
      <c r="BC108" s="2715"/>
      <c r="BD108" s="2715"/>
      <c r="BE108" s="2715"/>
      <c r="BF108" s="2715"/>
      <c r="BG108" s="2715"/>
      <c r="BH108" s="2715"/>
    </row>
    <row r="109" spans="1:60" s="2716" customFormat="1" ht="16.5" hidden="1" customHeight="1" x14ac:dyDescent="0.25">
      <c r="A109" s="2732" t="s">
        <v>23</v>
      </c>
      <c r="B109" s="2733" t="s">
        <v>502</v>
      </c>
      <c r="C109" s="2761">
        <f t="shared" si="208"/>
        <v>0</v>
      </c>
      <c r="D109" s="2737"/>
      <c r="E109" s="2737"/>
      <c r="F109" s="2737"/>
      <c r="G109" s="2737"/>
      <c r="H109" s="2737"/>
      <c r="I109" s="2737"/>
      <c r="J109" s="2737"/>
      <c r="K109" s="2737"/>
      <c r="L109" s="2736">
        <f t="shared" si="246"/>
        <v>0</v>
      </c>
      <c r="M109" s="2736">
        <f t="shared" si="247"/>
        <v>0</v>
      </c>
      <c r="N109" s="2737"/>
      <c r="O109" s="2736"/>
      <c r="P109" s="2737"/>
      <c r="Q109" s="2737"/>
      <c r="R109" s="2737"/>
      <c r="S109" s="2736"/>
      <c r="T109" s="2736"/>
      <c r="U109" s="2736"/>
      <c r="V109" s="2736"/>
      <c r="W109" s="2736"/>
      <c r="X109" s="2736"/>
      <c r="Y109" s="2736"/>
      <c r="Z109" s="2737"/>
      <c r="AA109" s="2737"/>
      <c r="AB109" s="2737"/>
      <c r="AC109" s="2736"/>
      <c r="AD109" s="2737"/>
      <c r="AE109" s="2737"/>
      <c r="AF109" s="2737"/>
      <c r="AG109" s="2737"/>
      <c r="AH109" s="2737"/>
      <c r="AI109" s="2737"/>
      <c r="AJ109" s="2737"/>
      <c r="AK109" s="2737"/>
      <c r="AL109" s="2737"/>
      <c r="AM109" s="2737"/>
      <c r="AN109" s="2737"/>
      <c r="AO109" s="2737"/>
      <c r="AP109" s="2737"/>
      <c r="AQ109" s="2737"/>
      <c r="AR109" s="2736"/>
      <c r="AS109" s="2682"/>
      <c r="AT109" s="2715"/>
      <c r="AU109" s="2715"/>
      <c r="AV109" s="2715"/>
      <c r="AW109" s="2715"/>
      <c r="AX109" s="2715"/>
      <c r="AY109" s="2715"/>
      <c r="AZ109" s="2715"/>
      <c r="BA109" s="2715"/>
      <c r="BB109" s="2715"/>
      <c r="BC109" s="2715"/>
      <c r="BD109" s="2715"/>
      <c r="BE109" s="2715"/>
      <c r="BF109" s="2715"/>
      <c r="BG109" s="2715"/>
      <c r="BH109" s="2715"/>
    </row>
    <row r="110" spans="1:60" s="2720" customFormat="1" ht="42.75" x14ac:dyDescent="0.25">
      <c r="A110" s="2748">
        <v>3</v>
      </c>
      <c r="B110" s="2749" t="s">
        <v>1424</v>
      </c>
      <c r="C110" s="2728">
        <f>SUM(C111:C113)</f>
        <v>0</v>
      </c>
      <c r="D110" s="2752"/>
      <c r="E110" s="2752"/>
      <c r="F110" s="2752"/>
      <c r="G110" s="2752"/>
      <c r="H110" s="2752"/>
      <c r="I110" s="2752"/>
      <c r="J110" s="2752"/>
      <c r="K110" s="2752"/>
      <c r="L110" s="2746">
        <f>SUM(L111:L113)</f>
        <v>22000</v>
      </c>
      <c r="M110" s="2746">
        <f t="shared" ref="M110:AR110" si="248">SUM(M111:M113)</f>
        <v>22000</v>
      </c>
      <c r="N110" s="2728">
        <f t="shared" si="248"/>
        <v>0</v>
      </c>
      <c r="O110" s="2746">
        <f t="shared" si="248"/>
        <v>22000</v>
      </c>
      <c r="P110" s="2728">
        <f t="shared" si="248"/>
        <v>0</v>
      </c>
      <c r="Q110" s="2728">
        <f t="shared" si="248"/>
        <v>0</v>
      </c>
      <c r="R110" s="2728">
        <f t="shared" si="248"/>
        <v>0</v>
      </c>
      <c r="S110" s="2728">
        <f t="shared" si="248"/>
        <v>0</v>
      </c>
      <c r="T110" s="2728">
        <f t="shared" si="248"/>
        <v>0</v>
      </c>
      <c r="U110" s="2728">
        <f t="shared" si="248"/>
        <v>0</v>
      </c>
      <c r="V110" s="2728">
        <f t="shared" si="248"/>
        <v>0</v>
      </c>
      <c r="W110" s="2728">
        <f t="shared" si="248"/>
        <v>0</v>
      </c>
      <c r="X110" s="2728">
        <f t="shared" si="248"/>
        <v>0</v>
      </c>
      <c r="Y110" s="2728">
        <f t="shared" si="248"/>
        <v>0</v>
      </c>
      <c r="Z110" s="2728">
        <f t="shared" si="248"/>
        <v>0</v>
      </c>
      <c r="AA110" s="2728">
        <f t="shared" si="248"/>
        <v>0</v>
      </c>
      <c r="AB110" s="2728">
        <f t="shared" si="248"/>
        <v>0</v>
      </c>
      <c r="AC110" s="2728">
        <f t="shared" si="248"/>
        <v>0</v>
      </c>
      <c r="AD110" s="2728">
        <f t="shared" si="248"/>
        <v>0</v>
      </c>
      <c r="AE110" s="2728">
        <f t="shared" si="248"/>
        <v>0</v>
      </c>
      <c r="AF110" s="2728">
        <f t="shared" si="248"/>
        <v>0</v>
      </c>
      <c r="AG110" s="2728">
        <f t="shared" si="248"/>
        <v>0</v>
      </c>
      <c r="AH110" s="2728">
        <f t="shared" si="248"/>
        <v>0</v>
      </c>
      <c r="AI110" s="2728">
        <f t="shared" si="248"/>
        <v>0</v>
      </c>
      <c r="AJ110" s="2728">
        <f t="shared" si="248"/>
        <v>0</v>
      </c>
      <c r="AK110" s="2728">
        <f t="shared" si="248"/>
        <v>0</v>
      </c>
      <c r="AL110" s="2728">
        <f t="shared" si="248"/>
        <v>0</v>
      </c>
      <c r="AM110" s="2728">
        <f t="shared" si="248"/>
        <v>0</v>
      </c>
      <c r="AN110" s="2728">
        <f t="shared" si="248"/>
        <v>0</v>
      </c>
      <c r="AO110" s="2728">
        <f t="shared" si="248"/>
        <v>0</v>
      </c>
      <c r="AP110" s="2728">
        <f t="shared" si="248"/>
        <v>0</v>
      </c>
      <c r="AQ110" s="2728">
        <f t="shared" si="248"/>
        <v>0</v>
      </c>
      <c r="AR110" s="2746">
        <f t="shared" si="248"/>
        <v>22000</v>
      </c>
      <c r="AS110" s="2686"/>
      <c r="AT110" s="2719"/>
      <c r="AU110" s="2719"/>
      <c r="AV110" s="2719"/>
      <c r="AW110" s="2719"/>
      <c r="AX110" s="2719"/>
      <c r="AY110" s="2719"/>
      <c r="AZ110" s="2719"/>
      <c r="BA110" s="2719"/>
      <c r="BB110" s="2719"/>
      <c r="BC110" s="2719"/>
      <c r="BD110" s="2719"/>
      <c r="BE110" s="2719"/>
      <c r="BF110" s="2719"/>
      <c r="BG110" s="2719"/>
      <c r="BH110" s="2719"/>
    </row>
    <row r="111" spans="1:60" s="2720" customFormat="1" ht="16.5" customHeight="1" x14ac:dyDescent="0.25">
      <c r="A111" s="2732" t="s">
        <v>23</v>
      </c>
      <c r="B111" s="2733" t="s">
        <v>1118</v>
      </c>
      <c r="C111" s="2761">
        <f t="shared" si="208"/>
        <v>0</v>
      </c>
      <c r="D111" s="2752"/>
      <c r="E111" s="2752"/>
      <c r="F111" s="2752"/>
      <c r="G111" s="2752"/>
      <c r="H111" s="2752"/>
      <c r="I111" s="2752"/>
      <c r="J111" s="2752"/>
      <c r="K111" s="2752"/>
      <c r="L111" s="2736">
        <f>M111+P111</f>
        <v>21000</v>
      </c>
      <c r="M111" s="2736">
        <f>N111+O111</f>
        <v>21000</v>
      </c>
      <c r="N111" s="2752"/>
      <c r="O111" s="2736">
        <v>21000</v>
      </c>
      <c r="P111" s="2761">
        <f>W111+X111</f>
        <v>0</v>
      </c>
      <c r="Q111" s="2737"/>
      <c r="R111" s="2737"/>
      <c r="S111" s="2737">
        <f>SUM(Z111:AC111)</f>
        <v>0</v>
      </c>
      <c r="T111" s="2737"/>
      <c r="U111" s="2737"/>
      <c r="V111" s="2737"/>
      <c r="W111" s="2737"/>
      <c r="X111" s="2737"/>
      <c r="Y111" s="2737"/>
      <c r="Z111" s="2737"/>
      <c r="AA111" s="2737"/>
      <c r="AB111" s="2737"/>
      <c r="AC111" s="2737"/>
      <c r="AD111" s="2761">
        <f>AE111+AF111</f>
        <v>0</v>
      </c>
      <c r="AE111" s="2737"/>
      <c r="AF111" s="2737"/>
      <c r="AG111" s="2737"/>
      <c r="AH111" s="2737"/>
      <c r="AI111" s="2737"/>
      <c r="AJ111" s="2737"/>
      <c r="AK111" s="2737"/>
      <c r="AL111" s="2737"/>
      <c r="AM111" s="2737"/>
      <c r="AN111" s="2737"/>
      <c r="AO111" s="2737"/>
      <c r="AP111" s="2737"/>
      <c r="AQ111" s="2737"/>
      <c r="AR111" s="2736">
        <f>L111</f>
        <v>21000</v>
      </c>
      <c r="AS111" s="2686"/>
      <c r="AT111" s="2719"/>
      <c r="AU111" s="2719"/>
      <c r="AV111" s="2719"/>
      <c r="AW111" s="2719"/>
      <c r="AX111" s="2719"/>
      <c r="AY111" s="2719"/>
      <c r="AZ111" s="2719"/>
      <c r="BA111" s="2719"/>
      <c r="BB111" s="2719"/>
      <c r="BC111" s="2719"/>
      <c r="BD111" s="2719"/>
      <c r="BE111" s="2719"/>
      <c r="BF111" s="2719"/>
      <c r="BG111" s="2719"/>
      <c r="BH111" s="2719"/>
    </row>
    <row r="112" spans="1:60" s="2720" customFormat="1" ht="16.5" customHeight="1" x14ac:dyDescent="0.25">
      <c r="A112" s="2732" t="s">
        <v>23</v>
      </c>
      <c r="B112" s="2733" t="s">
        <v>1119</v>
      </c>
      <c r="C112" s="2761">
        <f t="shared" si="208"/>
        <v>0</v>
      </c>
      <c r="D112" s="2752"/>
      <c r="E112" s="2752"/>
      <c r="F112" s="2752"/>
      <c r="G112" s="2752"/>
      <c r="H112" s="2752"/>
      <c r="I112" s="2752"/>
      <c r="J112" s="2752"/>
      <c r="K112" s="2752"/>
      <c r="L112" s="2736">
        <f t="shared" ref="L112:L113" si="249">M112+P112</f>
        <v>1000</v>
      </c>
      <c r="M112" s="2736">
        <f t="shared" ref="M112:M113" si="250">N112+O112</f>
        <v>1000</v>
      </c>
      <c r="N112" s="2752"/>
      <c r="O112" s="2736">
        <v>1000</v>
      </c>
      <c r="P112" s="2761">
        <f>W112+X112</f>
        <v>0</v>
      </c>
      <c r="Q112" s="2737"/>
      <c r="R112" s="2737"/>
      <c r="S112" s="2737">
        <f>SUM(Z112:AC112)</f>
        <v>0</v>
      </c>
      <c r="T112" s="2737"/>
      <c r="U112" s="2737"/>
      <c r="V112" s="2737"/>
      <c r="W112" s="2737"/>
      <c r="X112" s="2737"/>
      <c r="Y112" s="2737"/>
      <c r="Z112" s="2737"/>
      <c r="AA112" s="2737"/>
      <c r="AB112" s="2737"/>
      <c r="AC112" s="2737"/>
      <c r="AD112" s="2761">
        <f>AE112+AF112</f>
        <v>0</v>
      </c>
      <c r="AE112" s="2737"/>
      <c r="AF112" s="2737"/>
      <c r="AG112" s="2737"/>
      <c r="AH112" s="2737"/>
      <c r="AI112" s="2737"/>
      <c r="AJ112" s="2737"/>
      <c r="AK112" s="2737"/>
      <c r="AL112" s="2737"/>
      <c r="AM112" s="2737"/>
      <c r="AN112" s="2737"/>
      <c r="AO112" s="2737"/>
      <c r="AP112" s="2737"/>
      <c r="AQ112" s="2737"/>
      <c r="AR112" s="2736">
        <f>L112</f>
        <v>1000</v>
      </c>
      <c r="AS112" s="2686"/>
      <c r="AT112" s="2719"/>
      <c r="AU112" s="2719"/>
      <c r="AV112" s="2719"/>
      <c r="AW112" s="2719"/>
      <c r="AX112" s="2719"/>
      <c r="AY112" s="2719"/>
      <c r="AZ112" s="2719"/>
      <c r="BA112" s="2719"/>
      <c r="BB112" s="2719"/>
      <c r="BC112" s="2719"/>
      <c r="BD112" s="2719"/>
      <c r="BE112" s="2719"/>
      <c r="BF112" s="2719"/>
      <c r="BG112" s="2719"/>
      <c r="BH112" s="2719"/>
    </row>
    <row r="113" spans="1:60" s="2720" customFormat="1" ht="16.5" hidden="1" customHeight="1" x14ac:dyDescent="0.25">
      <c r="A113" s="2732" t="s">
        <v>23</v>
      </c>
      <c r="B113" s="2733" t="s">
        <v>502</v>
      </c>
      <c r="C113" s="2761">
        <f t="shared" si="208"/>
        <v>0</v>
      </c>
      <c r="D113" s="2752"/>
      <c r="E113" s="2752"/>
      <c r="F113" s="2752"/>
      <c r="G113" s="2752"/>
      <c r="H113" s="2752"/>
      <c r="I113" s="2752"/>
      <c r="J113" s="2752"/>
      <c r="K113" s="2752"/>
      <c r="L113" s="2736">
        <f t="shared" si="249"/>
        <v>0</v>
      </c>
      <c r="M113" s="2736">
        <f t="shared" si="250"/>
        <v>0</v>
      </c>
      <c r="N113" s="2752"/>
      <c r="O113" s="2736"/>
      <c r="P113" s="2737"/>
      <c r="Q113" s="2737"/>
      <c r="R113" s="2737"/>
      <c r="S113" s="2737"/>
      <c r="T113" s="2737"/>
      <c r="U113" s="2737"/>
      <c r="V113" s="2737"/>
      <c r="W113" s="2737"/>
      <c r="X113" s="2737"/>
      <c r="Y113" s="2737"/>
      <c r="Z113" s="2737"/>
      <c r="AA113" s="2737"/>
      <c r="AB113" s="2737"/>
      <c r="AC113" s="2737"/>
      <c r="AD113" s="2737"/>
      <c r="AE113" s="2737"/>
      <c r="AF113" s="2737"/>
      <c r="AG113" s="2737"/>
      <c r="AH113" s="2737"/>
      <c r="AI113" s="2737"/>
      <c r="AJ113" s="2737"/>
      <c r="AK113" s="2737"/>
      <c r="AL113" s="2737"/>
      <c r="AM113" s="2737"/>
      <c r="AN113" s="2737"/>
      <c r="AO113" s="2737"/>
      <c r="AP113" s="2737"/>
      <c r="AQ113" s="2737"/>
      <c r="AR113" s="2736"/>
      <c r="AS113" s="2686"/>
      <c r="AT113" s="2719"/>
      <c r="AU113" s="2719"/>
      <c r="AV113" s="2719"/>
      <c r="AW113" s="2719"/>
      <c r="AX113" s="2719"/>
      <c r="AY113" s="2719"/>
      <c r="AZ113" s="2719"/>
      <c r="BA113" s="2719"/>
      <c r="BB113" s="2719"/>
      <c r="BC113" s="2719"/>
      <c r="BD113" s="2719"/>
      <c r="BE113" s="2719"/>
      <c r="BF113" s="2719"/>
      <c r="BG113" s="2719"/>
      <c r="BH113" s="2719"/>
    </row>
    <row r="114" spans="1:60" s="2720" customFormat="1" ht="54" x14ac:dyDescent="0.25">
      <c r="A114" s="2748">
        <v>4</v>
      </c>
      <c r="B114" s="2762" t="s">
        <v>1431</v>
      </c>
      <c r="C114" s="2728">
        <f>C115</f>
        <v>0.7</v>
      </c>
      <c r="D114" s="2728">
        <f t="shared" ref="D114:AR114" si="251">D115</f>
        <v>0</v>
      </c>
      <c r="E114" s="2728">
        <f t="shared" si="251"/>
        <v>0</v>
      </c>
      <c r="F114" s="2728">
        <f t="shared" si="251"/>
        <v>0</v>
      </c>
      <c r="G114" s="2728">
        <f t="shared" si="251"/>
        <v>0</v>
      </c>
      <c r="H114" s="2728">
        <f t="shared" si="251"/>
        <v>0</v>
      </c>
      <c r="I114" s="2728">
        <f t="shared" si="251"/>
        <v>0</v>
      </c>
      <c r="J114" s="2728">
        <f t="shared" si="251"/>
        <v>0</v>
      </c>
      <c r="K114" s="2728">
        <f t="shared" si="251"/>
        <v>0.7</v>
      </c>
      <c r="L114" s="2746">
        <f t="shared" si="251"/>
        <v>48000</v>
      </c>
      <c r="M114" s="2746">
        <f t="shared" si="251"/>
        <v>48000</v>
      </c>
      <c r="N114" s="2728">
        <f t="shared" si="251"/>
        <v>0</v>
      </c>
      <c r="O114" s="2746">
        <f t="shared" si="251"/>
        <v>48000</v>
      </c>
      <c r="P114" s="2728">
        <f t="shared" si="251"/>
        <v>0</v>
      </c>
      <c r="Q114" s="2728">
        <f t="shared" si="251"/>
        <v>0</v>
      </c>
      <c r="R114" s="2728">
        <f t="shared" si="251"/>
        <v>0</v>
      </c>
      <c r="S114" s="2728">
        <f t="shared" si="251"/>
        <v>0</v>
      </c>
      <c r="T114" s="2728">
        <f t="shared" si="251"/>
        <v>0</v>
      </c>
      <c r="U114" s="2728">
        <f t="shared" si="251"/>
        <v>0</v>
      </c>
      <c r="V114" s="2728">
        <f t="shared" si="251"/>
        <v>0</v>
      </c>
      <c r="W114" s="2728">
        <f t="shared" si="251"/>
        <v>0</v>
      </c>
      <c r="X114" s="2728">
        <f t="shared" si="251"/>
        <v>0</v>
      </c>
      <c r="Y114" s="2728">
        <f t="shared" si="251"/>
        <v>0</v>
      </c>
      <c r="Z114" s="2728">
        <f t="shared" si="251"/>
        <v>0</v>
      </c>
      <c r="AA114" s="2728">
        <f t="shared" si="251"/>
        <v>0</v>
      </c>
      <c r="AB114" s="2728">
        <f t="shared" si="251"/>
        <v>0</v>
      </c>
      <c r="AC114" s="2728">
        <f t="shared" si="251"/>
        <v>0</v>
      </c>
      <c r="AD114" s="2728">
        <f t="shared" si="251"/>
        <v>0</v>
      </c>
      <c r="AE114" s="2728">
        <f t="shared" si="251"/>
        <v>0</v>
      </c>
      <c r="AF114" s="2728">
        <f t="shared" si="251"/>
        <v>0</v>
      </c>
      <c r="AG114" s="2728">
        <f t="shared" si="251"/>
        <v>0</v>
      </c>
      <c r="AH114" s="2728">
        <f t="shared" si="251"/>
        <v>0</v>
      </c>
      <c r="AI114" s="2728">
        <f t="shared" si="251"/>
        <v>0</v>
      </c>
      <c r="AJ114" s="2728">
        <f t="shared" si="251"/>
        <v>0</v>
      </c>
      <c r="AK114" s="2728">
        <f t="shared" si="251"/>
        <v>0</v>
      </c>
      <c r="AL114" s="2728">
        <f t="shared" si="251"/>
        <v>0</v>
      </c>
      <c r="AM114" s="2728">
        <f t="shared" si="251"/>
        <v>0</v>
      </c>
      <c r="AN114" s="2728">
        <f t="shared" si="251"/>
        <v>0</v>
      </c>
      <c r="AO114" s="2728">
        <f t="shared" si="251"/>
        <v>0</v>
      </c>
      <c r="AP114" s="2728">
        <f t="shared" si="251"/>
        <v>0</v>
      </c>
      <c r="AQ114" s="2728">
        <f t="shared" si="251"/>
        <v>0</v>
      </c>
      <c r="AR114" s="2746">
        <f t="shared" si="251"/>
        <v>48000.7</v>
      </c>
      <c r="AS114" s="2686"/>
      <c r="AT114" s="2719"/>
      <c r="AU114" s="2719"/>
      <c r="AV114" s="2719"/>
      <c r="AW114" s="2719"/>
      <c r="AX114" s="2719"/>
      <c r="AY114" s="2719"/>
      <c r="AZ114" s="2719"/>
      <c r="BA114" s="2719"/>
      <c r="BB114" s="2719"/>
      <c r="BC114" s="2719"/>
      <c r="BD114" s="2719"/>
      <c r="BE114" s="2719"/>
      <c r="BF114" s="2719"/>
      <c r="BG114" s="2719"/>
      <c r="BH114" s="2719"/>
    </row>
    <row r="115" spans="1:60" s="2720" customFormat="1" ht="54" x14ac:dyDescent="0.25">
      <c r="A115" s="2748"/>
      <c r="B115" s="2742" t="s">
        <v>2103</v>
      </c>
      <c r="C115" s="2728">
        <f>SUM(C116:C118)</f>
        <v>0.7</v>
      </c>
      <c r="D115" s="2752"/>
      <c r="E115" s="2752"/>
      <c r="F115" s="2752"/>
      <c r="G115" s="2752"/>
      <c r="H115" s="2752"/>
      <c r="I115" s="2752"/>
      <c r="J115" s="2728">
        <f>SUM(J116:J118)</f>
        <v>0</v>
      </c>
      <c r="K115" s="2728">
        <f t="shared" ref="K115:AR115" si="252">SUM(K116:K118)</f>
        <v>0.7</v>
      </c>
      <c r="L115" s="2746">
        <f t="shared" si="252"/>
        <v>48000</v>
      </c>
      <c r="M115" s="2746">
        <f t="shared" si="252"/>
        <v>48000</v>
      </c>
      <c r="N115" s="2728">
        <f t="shared" si="252"/>
        <v>0</v>
      </c>
      <c r="O115" s="2746">
        <f t="shared" si="252"/>
        <v>48000</v>
      </c>
      <c r="P115" s="2728">
        <f t="shared" si="252"/>
        <v>0</v>
      </c>
      <c r="Q115" s="2728">
        <f t="shared" si="252"/>
        <v>0</v>
      </c>
      <c r="R115" s="2728">
        <f t="shared" si="252"/>
        <v>0</v>
      </c>
      <c r="S115" s="2728">
        <f t="shared" si="252"/>
        <v>0</v>
      </c>
      <c r="T115" s="2728">
        <f t="shared" si="252"/>
        <v>0</v>
      </c>
      <c r="U115" s="2728">
        <f t="shared" si="252"/>
        <v>0</v>
      </c>
      <c r="V115" s="2728">
        <f t="shared" si="252"/>
        <v>0</v>
      </c>
      <c r="W115" s="2728">
        <f t="shared" si="252"/>
        <v>0</v>
      </c>
      <c r="X115" s="2728">
        <f t="shared" si="252"/>
        <v>0</v>
      </c>
      <c r="Y115" s="2728">
        <f t="shared" si="252"/>
        <v>0</v>
      </c>
      <c r="Z115" s="2728">
        <f t="shared" si="252"/>
        <v>0</v>
      </c>
      <c r="AA115" s="2728">
        <f t="shared" si="252"/>
        <v>0</v>
      </c>
      <c r="AB115" s="2728">
        <f t="shared" si="252"/>
        <v>0</v>
      </c>
      <c r="AC115" s="2728">
        <f t="shared" si="252"/>
        <v>0</v>
      </c>
      <c r="AD115" s="2728">
        <f t="shared" si="252"/>
        <v>0</v>
      </c>
      <c r="AE115" s="2728">
        <f t="shared" si="252"/>
        <v>0</v>
      </c>
      <c r="AF115" s="2728">
        <f t="shared" si="252"/>
        <v>0</v>
      </c>
      <c r="AG115" s="2728">
        <f t="shared" si="252"/>
        <v>0</v>
      </c>
      <c r="AH115" s="2728">
        <f t="shared" si="252"/>
        <v>0</v>
      </c>
      <c r="AI115" s="2728">
        <f t="shared" si="252"/>
        <v>0</v>
      </c>
      <c r="AJ115" s="2728">
        <f t="shared" si="252"/>
        <v>0</v>
      </c>
      <c r="AK115" s="2728">
        <f t="shared" si="252"/>
        <v>0</v>
      </c>
      <c r="AL115" s="2728">
        <f t="shared" si="252"/>
        <v>0</v>
      </c>
      <c r="AM115" s="2728">
        <f t="shared" si="252"/>
        <v>0</v>
      </c>
      <c r="AN115" s="2728">
        <f t="shared" si="252"/>
        <v>0</v>
      </c>
      <c r="AO115" s="2728">
        <f t="shared" si="252"/>
        <v>0</v>
      </c>
      <c r="AP115" s="2728">
        <f t="shared" si="252"/>
        <v>0</v>
      </c>
      <c r="AQ115" s="2728">
        <f t="shared" si="252"/>
        <v>0</v>
      </c>
      <c r="AR115" s="2746">
        <f t="shared" si="252"/>
        <v>48000.7</v>
      </c>
      <c r="AS115" s="2686"/>
      <c r="AT115" s="2719"/>
      <c r="AU115" s="2719"/>
      <c r="AV115" s="2719"/>
      <c r="AW115" s="2719"/>
      <c r="AX115" s="2719"/>
      <c r="AY115" s="2719"/>
      <c r="AZ115" s="2719"/>
      <c r="BA115" s="2719"/>
      <c r="BB115" s="2719"/>
      <c r="BC115" s="2719"/>
      <c r="BD115" s="2719"/>
      <c r="BE115" s="2719"/>
      <c r="BF115" s="2719"/>
      <c r="BG115" s="2719"/>
      <c r="BH115" s="2719"/>
    </row>
    <row r="116" spans="1:60" s="2720" customFormat="1" ht="16.5" customHeight="1" x14ac:dyDescent="0.25">
      <c r="A116" s="2732" t="s">
        <v>23</v>
      </c>
      <c r="B116" s="2733" t="s">
        <v>1118</v>
      </c>
      <c r="C116" s="2761">
        <f t="shared" si="208"/>
        <v>0.7</v>
      </c>
      <c r="D116" s="2752"/>
      <c r="E116" s="2752"/>
      <c r="F116" s="2752"/>
      <c r="G116" s="2752"/>
      <c r="H116" s="2752"/>
      <c r="I116" s="2752"/>
      <c r="J116" s="2752"/>
      <c r="K116" s="2752">
        <v>0.7</v>
      </c>
      <c r="L116" s="2736">
        <f>M116+P116</f>
        <v>46000</v>
      </c>
      <c r="M116" s="2736">
        <f>N116+O116</f>
        <v>46000</v>
      </c>
      <c r="N116" s="2752"/>
      <c r="O116" s="2736">
        <v>46000</v>
      </c>
      <c r="P116" s="2761">
        <f>W116+X116</f>
        <v>0</v>
      </c>
      <c r="Q116" s="2737"/>
      <c r="R116" s="2737"/>
      <c r="S116" s="2737">
        <f>SUM(Z116:AC116)</f>
        <v>0</v>
      </c>
      <c r="T116" s="2737"/>
      <c r="U116" s="2737"/>
      <c r="V116" s="2737"/>
      <c r="W116" s="2737"/>
      <c r="X116" s="2737"/>
      <c r="Y116" s="2737"/>
      <c r="Z116" s="2737"/>
      <c r="AA116" s="2737"/>
      <c r="AB116" s="2737"/>
      <c r="AC116" s="2737">
        <v>0</v>
      </c>
      <c r="AD116" s="2761">
        <f>AE116+AF116</f>
        <v>0</v>
      </c>
      <c r="AE116" s="2737"/>
      <c r="AF116" s="2737"/>
      <c r="AG116" s="2737"/>
      <c r="AH116" s="2737"/>
      <c r="AI116" s="2737"/>
      <c r="AJ116" s="2737"/>
      <c r="AK116" s="2737"/>
      <c r="AL116" s="2737"/>
      <c r="AM116" s="2737"/>
      <c r="AN116" s="2737"/>
      <c r="AO116" s="2737"/>
      <c r="AP116" s="2737"/>
      <c r="AQ116" s="2737"/>
      <c r="AR116" s="2736">
        <f>C116+L116</f>
        <v>46000.7</v>
      </c>
      <c r="AS116" s="2686"/>
      <c r="AT116" s="2719"/>
      <c r="AU116" s="2719"/>
      <c r="AV116" s="2719"/>
      <c r="AW116" s="2719"/>
      <c r="AX116" s="2719"/>
      <c r="AY116" s="2719"/>
      <c r="AZ116" s="2719"/>
      <c r="BA116" s="2719"/>
      <c r="BB116" s="2719"/>
      <c r="BC116" s="2719"/>
      <c r="BD116" s="2719"/>
      <c r="BE116" s="2719"/>
      <c r="BF116" s="2719"/>
      <c r="BG116" s="2719"/>
      <c r="BH116" s="2719"/>
    </row>
    <row r="117" spans="1:60" s="2720" customFormat="1" ht="16.5" customHeight="1" x14ac:dyDescent="0.25">
      <c r="A117" s="2732" t="s">
        <v>23</v>
      </c>
      <c r="B117" s="2733" t="s">
        <v>1119</v>
      </c>
      <c r="C117" s="2761">
        <f t="shared" si="208"/>
        <v>0</v>
      </c>
      <c r="D117" s="2752"/>
      <c r="E117" s="2752"/>
      <c r="F117" s="2752"/>
      <c r="G117" s="2752"/>
      <c r="H117" s="2752"/>
      <c r="I117" s="2752"/>
      <c r="J117" s="2752"/>
      <c r="K117" s="2752"/>
      <c r="L117" s="2736">
        <f t="shared" ref="L117:L118" si="253">M117+P117</f>
        <v>2000</v>
      </c>
      <c r="M117" s="2736">
        <f t="shared" ref="M117:M118" si="254">N117+O117</f>
        <v>2000</v>
      </c>
      <c r="N117" s="2752"/>
      <c r="O117" s="2736">
        <v>2000</v>
      </c>
      <c r="P117" s="2761">
        <f>W117+X117</f>
        <v>0</v>
      </c>
      <c r="Q117" s="2737"/>
      <c r="R117" s="2737"/>
      <c r="S117" s="2737">
        <f>SUM(Z117:AC117)</f>
        <v>0</v>
      </c>
      <c r="T117" s="2737"/>
      <c r="U117" s="2737"/>
      <c r="V117" s="2737"/>
      <c r="W117" s="2737"/>
      <c r="X117" s="2737"/>
      <c r="Y117" s="2737"/>
      <c r="Z117" s="2737"/>
      <c r="AA117" s="2737"/>
      <c r="AB117" s="2737"/>
      <c r="AC117" s="2737">
        <v>0</v>
      </c>
      <c r="AD117" s="2761">
        <f>AE117+AF117</f>
        <v>0</v>
      </c>
      <c r="AE117" s="2737"/>
      <c r="AF117" s="2737"/>
      <c r="AG117" s="2737"/>
      <c r="AH117" s="2737"/>
      <c r="AI117" s="2737"/>
      <c r="AJ117" s="2737"/>
      <c r="AK117" s="2737"/>
      <c r="AL117" s="2737"/>
      <c r="AM117" s="2737"/>
      <c r="AN117" s="2737"/>
      <c r="AO117" s="2737"/>
      <c r="AP117" s="2736"/>
      <c r="AQ117" s="2736"/>
      <c r="AR117" s="2736">
        <f>L117</f>
        <v>2000</v>
      </c>
      <c r="AS117" s="2686"/>
      <c r="AT117" s="2719"/>
      <c r="AU117" s="2719"/>
      <c r="AV117" s="2719"/>
      <c r="AW117" s="2719"/>
      <c r="AX117" s="2719"/>
      <c r="AY117" s="2719"/>
      <c r="AZ117" s="2719"/>
      <c r="BA117" s="2719"/>
      <c r="BB117" s="2719"/>
      <c r="BC117" s="2719"/>
      <c r="BD117" s="2719"/>
      <c r="BE117" s="2719"/>
      <c r="BF117" s="2719"/>
      <c r="BG117" s="2719"/>
      <c r="BH117" s="2719"/>
    </row>
    <row r="118" spans="1:60" s="2720" customFormat="1" ht="16.5" hidden="1" customHeight="1" x14ac:dyDescent="0.25">
      <c r="A118" s="2732" t="s">
        <v>23</v>
      </c>
      <c r="B118" s="2733" t="s">
        <v>502</v>
      </c>
      <c r="C118" s="2761">
        <f t="shared" si="208"/>
        <v>0</v>
      </c>
      <c r="D118" s="2752"/>
      <c r="E118" s="2752"/>
      <c r="F118" s="2752"/>
      <c r="G118" s="2752"/>
      <c r="H118" s="2752"/>
      <c r="I118" s="2752"/>
      <c r="J118" s="2752"/>
      <c r="K118" s="2752"/>
      <c r="L118" s="2736">
        <f t="shared" si="253"/>
        <v>0</v>
      </c>
      <c r="M118" s="2736">
        <f t="shared" si="254"/>
        <v>0</v>
      </c>
      <c r="N118" s="2752"/>
      <c r="O118" s="2736"/>
      <c r="P118" s="2737"/>
      <c r="Q118" s="2737"/>
      <c r="R118" s="2737"/>
      <c r="S118" s="2736"/>
      <c r="T118" s="2736"/>
      <c r="U118" s="2736"/>
      <c r="V118" s="2736"/>
      <c r="W118" s="2736"/>
      <c r="X118" s="2736"/>
      <c r="Y118" s="2736"/>
      <c r="Z118" s="2737"/>
      <c r="AA118" s="2737"/>
      <c r="AB118" s="2737"/>
      <c r="AC118" s="2736"/>
      <c r="AD118" s="2736"/>
      <c r="AE118" s="2736"/>
      <c r="AF118" s="2736"/>
      <c r="AG118" s="2737"/>
      <c r="AH118" s="2737"/>
      <c r="AI118" s="2737"/>
      <c r="AJ118" s="2737"/>
      <c r="AK118" s="2737"/>
      <c r="AL118" s="2737"/>
      <c r="AM118" s="2737"/>
      <c r="AN118" s="2737"/>
      <c r="AO118" s="2737"/>
      <c r="AP118" s="2736"/>
      <c r="AQ118" s="2736"/>
      <c r="AR118" s="2736"/>
      <c r="AS118" s="2686"/>
      <c r="AT118" s="2719"/>
      <c r="AU118" s="2719"/>
      <c r="AV118" s="2719"/>
      <c r="AW118" s="2719"/>
      <c r="AX118" s="2719"/>
      <c r="AY118" s="2719"/>
      <c r="AZ118" s="2719"/>
      <c r="BA118" s="2719"/>
      <c r="BB118" s="2719"/>
      <c r="BC118" s="2719"/>
      <c r="BD118" s="2719"/>
      <c r="BE118" s="2719"/>
      <c r="BF118" s="2719"/>
      <c r="BG118" s="2719"/>
      <c r="BH118" s="2719"/>
    </row>
    <row r="119" spans="1:60" s="2720" customFormat="1" ht="81" x14ac:dyDescent="0.25">
      <c r="A119" s="2732">
        <v>5</v>
      </c>
      <c r="B119" s="2762" t="s">
        <v>1425</v>
      </c>
      <c r="C119" s="2728">
        <f>SUM(C120:C122)</f>
        <v>12488.528</v>
      </c>
      <c r="D119" s="2752"/>
      <c r="E119" s="2752"/>
      <c r="F119" s="2752"/>
      <c r="G119" s="2752"/>
      <c r="H119" s="2752"/>
      <c r="I119" s="2752"/>
      <c r="J119" s="2728">
        <f>SUM(J120:J122)</f>
        <v>0</v>
      </c>
      <c r="K119" s="2728">
        <f t="shared" ref="K119:AR119" si="255">SUM(K120:K122)</f>
        <v>12488.528</v>
      </c>
      <c r="L119" s="2746">
        <f t="shared" si="255"/>
        <v>279000</v>
      </c>
      <c r="M119" s="2746">
        <f t="shared" si="255"/>
        <v>279000</v>
      </c>
      <c r="N119" s="2728">
        <f t="shared" si="255"/>
        <v>0</v>
      </c>
      <c r="O119" s="2746">
        <f>SUM(O120:O122)</f>
        <v>279000</v>
      </c>
      <c r="P119" s="2728">
        <f t="shared" si="255"/>
        <v>0</v>
      </c>
      <c r="Q119" s="2728">
        <f t="shared" si="255"/>
        <v>0</v>
      </c>
      <c r="R119" s="2728">
        <f t="shared" si="255"/>
        <v>0</v>
      </c>
      <c r="S119" s="2746">
        <f t="shared" si="255"/>
        <v>200000</v>
      </c>
      <c r="T119" s="2746">
        <f t="shared" si="255"/>
        <v>0</v>
      </c>
      <c r="U119" s="2746">
        <f t="shared" si="255"/>
        <v>0</v>
      </c>
      <c r="V119" s="2746">
        <f t="shared" si="255"/>
        <v>0</v>
      </c>
      <c r="W119" s="2746">
        <f t="shared" si="255"/>
        <v>0</v>
      </c>
      <c r="X119" s="2746">
        <f t="shared" si="255"/>
        <v>0</v>
      </c>
      <c r="Y119" s="2746">
        <f t="shared" si="255"/>
        <v>0</v>
      </c>
      <c r="Z119" s="2728">
        <f t="shared" si="255"/>
        <v>0</v>
      </c>
      <c r="AA119" s="2728">
        <f t="shared" si="255"/>
        <v>0</v>
      </c>
      <c r="AB119" s="2728">
        <f t="shared" si="255"/>
        <v>0</v>
      </c>
      <c r="AC119" s="2746">
        <f t="shared" si="255"/>
        <v>200000</v>
      </c>
      <c r="AD119" s="2728">
        <f t="shared" si="255"/>
        <v>0</v>
      </c>
      <c r="AE119" s="2728">
        <f t="shared" si="255"/>
        <v>0</v>
      </c>
      <c r="AF119" s="2746">
        <f t="shared" si="255"/>
        <v>66487.56</v>
      </c>
      <c r="AG119" s="2728">
        <f t="shared" si="255"/>
        <v>0</v>
      </c>
      <c r="AH119" s="2728">
        <f t="shared" si="255"/>
        <v>0</v>
      </c>
      <c r="AI119" s="2728">
        <f t="shared" si="255"/>
        <v>0</v>
      </c>
      <c r="AJ119" s="2728">
        <f t="shared" si="255"/>
        <v>0</v>
      </c>
      <c r="AK119" s="2728">
        <f t="shared" si="255"/>
        <v>0</v>
      </c>
      <c r="AL119" s="2728">
        <f t="shared" si="255"/>
        <v>0</v>
      </c>
      <c r="AM119" s="2728">
        <f t="shared" si="255"/>
        <v>0</v>
      </c>
      <c r="AN119" s="2728">
        <f t="shared" si="255"/>
        <v>0</v>
      </c>
      <c r="AO119" s="2728">
        <f t="shared" si="255"/>
        <v>0</v>
      </c>
      <c r="AP119" s="2728">
        <f t="shared" si="255"/>
        <v>0</v>
      </c>
      <c r="AQ119" s="2728">
        <f t="shared" si="255"/>
        <v>0</v>
      </c>
      <c r="AR119" s="2746">
        <f t="shared" si="255"/>
        <v>25000.968000000001</v>
      </c>
      <c r="AS119" s="2686"/>
      <c r="AT119" s="2719"/>
      <c r="AU119" s="2719"/>
      <c r="AV119" s="2719"/>
      <c r="AW119" s="2719"/>
      <c r="AX119" s="2719"/>
      <c r="AY119" s="2719"/>
      <c r="AZ119" s="2719"/>
      <c r="BA119" s="2719"/>
      <c r="BB119" s="2719"/>
      <c r="BC119" s="2719"/>
      <c r="BD119" s="2719"/>
      <c r="BE119" s="2719"/>
      <c r="BF119" s="2719"/>
      <c r="BG119" s="2719"/>
      <c r="BH119" s="2719"/>
    </row>
    <row r="120" spans="1:60" s="2720" customFormat="1" ht="16.5" customHeight="1" x14ac:dyDescent="0.25">
      <c r="A120" s="2732" t="s">
        <v>23</v>
      </c>
      <c r="B120" s="2733" t="s">
        <v>1118</v>
      </c>
      <c r="C120" s="2761">
        <f>J120+K120</f>
        <v>12488.528</v>
      </c>
      <c r="D120" s="2752"/>
      <c r="E120" s="2752"/>
      <c r="F120" s="2752"/>
      <c r="G120" s="2752"/>
      <c r="H120" s="2752"/>
      <c r="I120" s="2752"/>
      <c r="J120" s="2737">
        <f>J124+J128</f>
        <v>0</v>
      </c>
      <c r="K120" s="2737">
        <f>K124+K128</f>
        <v>12488.528</v>
      </c>
      <c r="L120" s="2736">
        <f>M120+P120</f>
        <v>263000</v>
      </c>
      <c r="M120" s="2736">
        <f>M124+M128</f>
        <v>263000</v>
      </c>
      <c r="N120" s="2737">
        <f>N124+N128</f>
        <v>0</v>
      </c>
      <c r="O120" s="2736">
        <f>O124+O128</f>
        <v>263000</v>
      </c>
      <c r="P120" s="2752"/>
      <c r="Q120" s="2737">
        <f>Q124+Q128</f>
        <v>0</v>
      </c>
      <c r="R120" s="2737">
        <f>R124+R129</f>
        <v>0</v>
      </c>
      <c r="S120" s="2736">
        <f>SUM(Z120:AC120)</f>
        <v>190000</v>
      </c>
      <c r="T120" s="2759"/>
      <c r="U120" s="2759"/>
      <c r="V120" s="2759"/>
      <c r="W120" s="2759"/>
      <c r="X120" s="2759"/>
      <c r="Y120" s="2759"/>
      <c r="Z120" s="2737">
        <f>Z124+Z128</f>
        <v>0</v>
      </c>
      <c r="AA120" s="2737">
        <f>AA124+AA129</f>
        <v>0</v>
      </c>
      <c r="AB120" s="2737">
        <f>AB124+AB128</f>
        <v>0</v>
      </c>
      <c r="AC120" s="2736">
        <f>AC124+AC129</f>
        <v>190000</v>
      </c>
      <c r="AD120" s="2752"/>
      <c r="AE120" s="2737">
        <f>AE124+AE128</f>
        <v>0</v>
      </c>
      <c r="AF120" s="2736">
        <f>AF124+AF129</f>
        <v>61487.56</v>
      </c>
      <c r="AG120" s="2752"/>
      <c r="AH120" s="2752"/>
      <c r="AI120" s="2752"/>
      <c r="AJ120" s="2752"/>
      <c r="AK120" s="2752"/>
      <c r="AL120" s="2752"/>
      <c r="AM120" s="2752"/>
      <c r="AN120" s="2737">
        <f>AN124+AN128</f>
        <v>0</v>
      </c>
      <c r="AO120" s="2737">
        <f>AO124+AO129</f>
        <v>0</v>
      </c>
      <c r="AP120" s="2737">
        <f>AP124+AP128</f>
        <v>0</v>
      </c>
      <c r="AQ120" s="2737">
        <f>AQ124+AQ129</f>
        <v>0</v>
      </c>
      <c r="AR120" s="2736">
        <f>AR124+AR128</f>
        <v>24000.968000000001</v>
      </c>
      <c r="AS120" s="2686"/>
      <c r="AT120" s="2719"/>
      <c r="AU120" s="2719"/>
      <c r="AV120" s="2719"/>
      <c r="AW120" s="2719"/>
      <c r="AX120" s="2719"/>
      <c r="AY120" s="2719"/>
      <c r="AZ120" s="2719"/>
      <c r="BA120" s="2719"/>
      <c r="BB120" s="2719"/>
      <c r="BC120" s="2719"/>
      <c r="BD120" s="2719"/>
      <c r="BE120" s="2719"/>
      <c r="BF120" s="2719"/>
      <c r="BG120" s="2719"/>
      <c r="BH120" s="2719"/>
    </row>
    <row r="121" spans="1:60" s="2720" customFormat="1" ht="16.5" customHeight="1" x14ac:dyDescent="0.25">
      <c r="A121" s="2732" t="s">
        <v>23</v>
      </c>
      <c r="B121" s="2733" t="s">
        <v>1119</v>
      </c>
      <c r="C121" s="2761">
        <f t="shared" si="208"/>
        <v>0</v>
      </c>
      <c r="D121" s="2752"/>
      <c r="E121" s="2752"/>
      <c r="F121" s="2752"/>
      <c r="G121" s="2752"/>
      <c r="H121" s="2752"/>
      <c r="I121" s="2752"/>
      <c r="J121" s="2737">
        <f t="shared" ref="J121:K121" si="256">J125+J129</f>
        <v>0</v>
      </c>
      <c r="K121" s="2737">
        <f t="shared" si="256"/>
        <v>0</v>
      </c>
      <c r="L121" s="2736">
        <f t="shared" ref="L121:L122" si="257">M121+P121</f>
        <v>16000</v>
      </c>
      <c r="M121" s="2736">
        <f t="shared" ref="M121" si="258">N121+O121</f>
        <v>16000</v>
      </c>
      <c r="N121" s="2737">
        <f t="shared" ref="N121:N122" si="259">N125+N129</f>
        <v>0</v>
      </c>
      <c r="O121" s="2736">
        <f>O125+O129</f>
        <v>16000</v>
      </c>
      <c r="P121" s="2752"/>
      <c r="Q121" s="2737">
        <f t="shared" ref="Q121" si="260">Q125+Q129</f>
        <v>0</v>
      </c>
      <c r="R121" s="2737">
        <f t="shared" ref="R121" si="261">R125+R130</f>
        <v>0</v>
      </c>
      <c r="S121" s="2736">
        <f>SUM(Z121:AC121)</f>
        <v>10000</v>
      </c>
      <c r="T121" s="2759"/>
      <c r="U121" s="2759"/>
      <c r="V121" s="2759"/>
      <c r="W121" s="2759"/>
      <c r="X121" s="2759"/>
      <c r="Y121" s="2759"/>
      <c r="Z121" s="2737">
        <f t="shared" ref="Z121:Z122" si="262">Z125+Z129</f>
        <v>0</v>
      </c>
      <c r="AA121" s="2737">
        <f t="shared" ref="AA121:AA122" si="263">AA125+AA130</f>
        <v>0</v>
      </c>
      <c r="AB121" s="2737">
        <f t="shared" ref="AB121:AB122" si="264">AB125+AB129</f>
        <v>0</v>
      </c>
      <c r="AC121" s="2736">
        <f t="shared" ref="AC121" si="265">AC125+AC130</f>
        <v>10000</v>
      </c>
      <c r="AD121" s="2752"/>
      <c r="AE121" s="2737">
        <f t="shared" ref="AE121:AE122" si="266">AE125+AE129</f>
        <v>0</v>
      </c>
      <c r="AF121" s="2736">
        <f t="shared" ref="AF121" si="267">AF125+AF130</f>
        <v>5000</v>
      </c>
      <c r="AG121" s="2752"/>
      <c r="AH121" s="2752"/>
      <c r="AI121" s="2752"/>
      <c r="AJ121" s="2752"/>
      <c r="AK121" s="2752"/>
      <c r="AL121" s="2752"/>
      <c r="AM121" s="2752"/>
      <c r="AN121" s="2737">
        <f t="shared" ref="AN121:AN122" si="268">AN125+AN129</f>
        <v>0</v>
      </c>
      <c r="AO121" s="2737">
        <f t="shared" ref="AO121:AO122" si="269">AO125+AO130</f>
        <v>0</v>
      </c>
      <c r="AP121" s="2737">
        <f t="shared" ref="AP121:AP122" si="270">AP125+AP129</f>
        <v>0</v>
      </c>
      <c r="AQ121" s="2737">
        <f t="shared" ref="AQ121" si="271">AQ125+AQ130</f>
        <v>0</v>
      </c>
      <c r="AR121" s="2736">
        <f t="shared" ref="AR121:AR122" si="272">AR125+AR129</f>
        <v>1000</v>
      </c>
      <c r="AS121" s="2686"/>
      <c r="AT121" s="2719"/>
      <c r="AU121" s="2719"/>
      <c r="AV121" s="2719"/>
      <c r="AW121" s="2719"/>
      <c r="AX121" s="2719"/>
      <c r="AY121" s="2719"/>
      <c r="AZ121" s="2719"/>
      <c r="BA121" s="2719"/>
      <c r="BB121" s="2719"/>
      <c r="BC121" s="2719"/>
      <c r="BD121" s="2719"/>
      <c r="BE121" s="2719"/>
      <c r="BF121" s="2719"/>
      <c r="BG121" s="2719"/>
      <c r="BH121" s="2719"/>
    </row>
    <row r="122" spans="1:60" s="2720" customFormat="1" ht="16.5" hidden="1" customHeight="1" x14ac:dyDescent="0.25">
      <c r="A122" s="2732" t="s">
        <v>23</v>
      </c>
      <c r="B122" s="2733" t="s">
        <v>502</v>
      </c>
      <c r="C122" s="2761">
        <f t="shared" si="208"/>
        <v>0</v>
      </c>
      <c r="D122" s="2752"/>
      <c r="E122" s="2752"/>
      <c r="F122" s="2752"/>
      <c r="G122" s="2752"/>
      <c r="H122" s="2752"/>
      <c r="I122" s="2752"/>
      <c r="J122" s="2737">
        <f t="shared" ref="J122:K122" si="273">J126+J130</f>
        <v>0</v>
      </c>
      <c r="K122" s="2737">
        <f t="shared" si="273"/>
        <v>0</v>
      </c>
      <c r="L122" s="2736">
        <f t="shared" si="257"/>
        <v>0</v>
      </c>
      <c r="M122" s="2759"/>
      <c r="N122" s="2737">
        <f t="shared" si="259"/>
        <v>0</v>
      </c>
      <c r="O122" s="2736">
        <f>O126+O130</f>
        <v>0</v>
      </c>
      <c r="P122" s="2752"/>
      <c r="Q122" s="2737">
        <f>Q126+Q130</f>
        <v>0</v>
      </c>
      <c r="R122" s="2737">
        <f>R126+R130</f>
        <v>0</v>
      </c>
      <c r="S122" s="2736">
        <f>SUM(Z122:AC122)</f>
        <v>0</v>
      </c>
      <c r="T122" s="2759"/>
      <c r="U122" s="2759"/>
      <c r="V122" s="2759"/>
      <c r="W122" s="2759"/>
      <c r="X122" s="2759"/>
      <c r="Y122" s="2759"/>
      <c r="Z122" s="2737">
        <f t="shared" si="262"/>
        <v>0</v>
      </c>
      <c r="AA122" s="2737">
        <f t="shared" si="263"/>
        <v>0</v>
      </c>
      <c r="AB122" s="2737">
        <f t="shared" si="264"/>
        <v>0</v>
      </c>
      <c r="AC122" s="2736">
        <f>AC126+AC130</f>
        <v>0</v>
      </c>
      <c r="AD122" s="2759"/>
      <c r="AE122" s="2736">
        <f t="shared" si="266"/>
        <v>0</v>
      </c>
      <c r="AF122" s="2736">
        <f>AF126+AF130</f>
        <v>0</v>
      </c>
      <c r="AG122" s="2752"/>
      <c r="AH122" s="2752"/>
      <c r="AI122" s="2752"/>
      <c r="AJ122" s="2752"/>
      <c r="AK122" s="2752"/>
      <c r="AL122" s="2752"/>
      <c r="AM122" s="2752"/>
      <c r="AN122" s="2737">
        <f t="shared" si="268"/>
        <v>0</v>
      </c>
      <c r="AO122" s="2737">
        <f t="shared" si="269"/>
        <v>0</v>
      </c>
      <c r="AP122" s="2736">
        <f t="shared" si="270"/>
        <v>0</v>
      </c>
      <c r="AQ122" s="2736">
        <f>AQ126+AQ130</f>
        <v>0</v>
      </c>
      <c r="AR122" s="2736">
        <f t="shared" si="272"/>
        <v>0</v>
      </c>
      <c r="AS122" s="2686"/>
      <c r="AT122" s="2719"/>
      <c r="AU122" s="2719"/>
      <c r="AV122" s="2719"/>
      <c r="AW122" s="2719"/>
      <c r="AX122" s="2719"/>
      <c r="AY122" s="2719"/>
      <c r="AZ122" s="2719"/>
      <c r="BA122" s="2719"/>
      <c r="BB122" s="2719"/>
      <c r="BC122" s="2719"/>
      <c r="BD122" s="2719"/>
      <c r="BE122" s="2719"/>
      <c r="BF122" s="2719"/>
      <c r="BG122" s="2719"/>
      <c r="BH122" s="2719"/>
    </row>
    <row r="123" spans="1:60" s="2720" customFormat="1" ht="148.5" x14ac:dyDescent="0.25">
      <c r="A123" s="2732" t="s">
        <v>1011</v>
      </c>
      <c r="B123" s="2733" t="s">
        <v>2104</v>
      </c>
      <c r="C123" s="2728">
        <f>SUM(C124:I126)</f>
        <v>12487.56</v>
      </c>
      <c r="D123" s="2728">
        <f t="shared" ref="D123:I123" si="274">SUM(D124:J126)</f>
        <v>0</v>
      </c>
      <c r="E123" s="2728">
        <f t="shared" si="274"/>
        <v>12487.56</v>
      </c>
      <c r="F123" s="2728">
        <f t="shared" si="274"/>
        <v>266487.56</v>
      </c>
      <c r="G123" s="2728">
        <f t="shared" si="274"/>
        <v>520487.56</v>
      </c>
      <c r="H123" s="2728">
        <f t="shared" si="274"/>
        <v>520487.56</v>
      </c>
      <c r="I123" s="2728">
        <f t="shared" si="274"/>
        <v>774487.56</v>
      </c>
      <c r="J123" s="2728"/>
      <c r="K123" s="2728">
        <f>SUM(K124:K126)</f>
        <v>12487.56</v>
      </c>
      <c r="L123" s="2746">
        <f t="shared" ref="L123:AR123" si="275">SUM(L124:L126)</f>
        <v>254000</v>
      </c>
      <c r="M123" s="2746">
        <f t="shared" si="275"/>
        <v>254000</v>
      </c>
      <c r="N123" s="2728">
        <f t="shared" si="275"/>
        <v>0</v>
      </c>
      <c r="O123" s="2728">
        <f t="shared" si="275"/>
        <v>254000</v>
      </c>
      <c r="P123" s="2728">
        <f t="shared" si="275"/>
        <v>0</v>
      </c>
      <c r="Q123" s="2728">
        <f t="shared" si="275"/>
        <v>0</v>
      </c>
      <c r="R123" s="2728">
        <f t="shared" si="275"/>
        <v>0</v>
      </c>
      <c r="S123" s="2728">
        <f t="shared" si="275"/>
        <v>200000</v>
      </c>
      <c r="T123" s="2728">
        <f t="shared" si="275"/>
        <v>0</v>
      </c>
      <c r="U123" s="2728">
        <f t="shared" si="275"/>
        <v>0</v>
      </c>
      <c r="V123" s="2728">
        <f t="shared" si="275"/>
        <v>0</v>
      </c>
      <c r="W123" s="2728">
        <f t="shared" si="275"/>
        <v>0</v>
      </c>
      <c r="X123" s="2728">
        <f t="shared" si="275"/>
        <v>0</v>
      </c>
      <c r="Y123" s="2728">
        <f t="shared" si="275"/>
        <v>0</v>
      </c>
      <c r="Z123" s="2728">
        <f t="shared" si="275"/>
        <v>0</v>
      </c>
      <c r="AA123" s="2728">
        <f t="shared" si="275"/>
        <v>0</v>
      </c>
      <c r="AB123" s="2728">
        <f t="shared" si="275"/>
        <v>0</v>
      </c>
      <c r="AC123" s="2728">
        <f t="shared" si="275"/>
        <v>200000</v>
      </c>
      <c r="AD123" s="2728">
        <f t="shared" si="275"/>
        <v>66487.56</v>
      </c>
      <c r="AE123" s="2728">
        <f t="shared" si="275"/>
        <v>0</v>
      </c>
      <c r="AF123" s="2728">
        <f t="shared" si="275"/>
        <v>66487.56</v>
      </c>
      <c r="AG123" s="2728">
        <f t="shared" si="275"/>
        <v>0</v>
      </c>
      <c r="AH123" s="2728">
        <f t="shared" si="275"/>
        <v>0</v>
      </c>
      <c r="AI123" s="2728">
        <f t="shared" si="275"/>
        <v>0</v>
      </c>
      <c r="AJ123" s="2728">
        <f t="shared" si="275"/>
        <v>0</v>
      </c>
      <c r="AK123" s="2728">
        <f t="shared" si="275"/>
        <v>0</v>
      </c>
      <c r="AL123" s="2728">
        <f t="shared" si="275"/>
        <v>0</v>
      </c>
      <c r="AM123" s="2728">
        <f t="shared" si="275"/>
        <v>0</v>
      </c>
      <c r="AN123" s="2728">
        <f t="shared" si="275"/>
        <v>0</v>
      </c>
      <c r="AO123" s="2728">
        <f t="shared" si="275"/>
        <v>0</v>
      </c>
      <c r="AP123" s="2728">
        <f t="shared" si="275"/>
        <v>0</v>
      </c>
      <c r="AQ123" s="2728">
        <f t="shared" si="275"/>
        <v>0</v>
      </c>
      <c r="AR123" s="2728">
        <f t="shared" si="275"/>
        <v>0</v>
      </c>
      <c r="AS123" s="2686"/>
      <c r="AT123" s="2719"/>
      <c r="AU123" s="2719"/>
      <c r="AV123" s="2719"/>
      <c r="AW123" s="2719"/>
      <c r="AX123" s="2719"/>
      <c r="AY123" s="2719"/>
      <c r="AZ123" s="2719"/>
      <c r="BA123" s="2719"/>
      <c r="BB123" s="2719"/>
      <c r="BC123" s="2719"/>
      <c r="BD123" s="2719"/>
      <c r="BE123" s="2719"/>
      <c r="BF123" s="2719"/>
      <c r="BG123" s="2719"/>
      <c r="BH123" s="2719"/>
    </row>
    <row r="124" spans="1:60" s="2720" customFormat="1" ht="16.5" customHeight="1" x14ac:dyDescent="0.25">
      <c r="A124" s="2732" t="s">
        <v>23</v>
      </c>
      <c r="B124" s="2733" t="s">
        <v>1118</v>
      </c>
      <c r="C124" s="2761">
        <f t="shared" si="208"/>
        <v>12487.56</v>
      </c>
      <c r="D124" s="2752"/>
      <c r="E124" s="2752"/>
      <c r="F124" s="2752"/>
      <c r="G124" s="2752"/>
      <c r="H124" s="2752"/>
      <c r="I124" s="2752"/>
      <c r="J124" s="2752"/>
      <c r="K124" s="2756">
        <v>12487.56</v>
      </c>
      <c r="L124" s="2736">
        <f>M124+P124</f>
        <v>239000</v>
      </c>
      <c r="M124" s="2736">
        <f>N124+O124</f>
        <v>239000</v>
      </c>
      <c r="N124" s="2752"/>
      <c r="O124" s="2736">
        <f>190000+49000</f>
        <v>239000</v>
      </c>
      <c r="P124" s="2761">
        <f>W124+X124</f>
        <v>0</v>
      </c>
      <c r="Q124" s="2737"/>
      <c r="R124" s="2737"/>
      <c r="S124" s="2736">
        <f>SUM(Z124:AC124)</f>
        <v>190000</v>
      </c>
      <c r="T124" s="2736"/>
      <c r="U124" s="2736"/>
      <c r="V124" s="2736"/>
      <c r="W124" s="2736"/>
      <c r="X124" s="2736"/>
      <c r="Y124" s="2736"/>
      <c r="Z124" s="2737"/>
      <c r="AA124" s="2737"/>
      <c r="AB124" s="2737"/>
      <c r="AC124" s="2736">
        <v>190000</v>
      </c>
      <c r="AD124" s="2747">
        <f>AE124+AF124</f>
        <v>61487.56</v>
      </c>
      <c r="AE124" s="2736"/>
      <c r="AF124" s="2736">
        <f>K124+(L124-S124)</f>
        <v>61487.56</v>
      </c>
      <c r="AG124" s="2737"/>
      <c r="AH124" s="2737"/>
      <c r="AI124" s="2737"/>
      <c r="AJ124" s="2737"/>
      <c r="AK124" s="2737"/>
      <c r="AL124" s="2737"/>
      <c r="AM124" s="2737"/>
      <c r="AN124" s="2737"/>
      <c r="AO124" s="2737"/>
      <c r="AP124" s="2736"/>
      <c r="AQ124" s="2736"/>
      <c r="AR124" s="2736"/>
      <c r="AS124" s="2686"/>
      <c r="AT124" s="2719"/>
      <c r="AU124" s="2719"/>
      <c r="AV124" s="2719"/>
      <c r="AW124" s="2719"/>
      <c r="AX124" s="2719"/>
      <c r="AY124" s="2719"/>
      <c r="AZ124" s="2719"/>
      <c r="BA124" s="2719"/>
      <c r="BB124" s="2719"/>
      <c r="BC124" s="2719"/>
      <c r="BD124" s="2719"/>
      <c r="BE124" s="2719"/>
      <c r="BF124" s="2719"/>
      <c r="BG124" s="2719"/>
      <c r="BH124" s="2719"/>
    </row>
    <row r="125" spans="1:60" s="2720" customFormat="1" ht="16.5" customHeight="1" x14ac:dyDescent="0.25">
      <c r="A125" s="2732" t="s">
        <v>23</v>
      </c>
      <c r="B125" s="2733" t="s">
        <v>1119</v>
      </c>
      <c r="C125" s="2761">
        <f t="shared" si="208"/>
        <v>0</v>
      </c>
      <c r="D125" s="2752"/>
      <c r="E125" s="2752"/>
      <c r="F125" s="2752"/>
      <c r="G125" s="2752"/>
      <c r="H125" s="2752"/>
      <c r="I125" s="2752"/>
      <c r="J125" s="2752"/>
      <c r="K125" s="2752"/>
      <c r="L125" s="2736">
        <f t="shared" ref="L125:L126" si="276">M125+P125</f>
        <v>15000</v>
      </c>
      <c r="M125" s="2736">
        <f t="shared" ref="M125:M126" si="277">N125+O125</f>
        <v>15000</v>
      </c>
      <c r="N125" s="2752"/>
      <c r="O125" s="2736">
        <f>10000+5000</f>
        <v>15000</v>
      </c>
      <c r="P125" s="2761">
        <f>W125+X125</f>
        <v>0</v>
      </c>
      <c r="Q125" s="2737"/>
      <c r="R125" s="2737"/>
      <c r="S125" s="2736">
        <f>SUM(Z125:AC125)</f>
        <v>10000</v>
      </c>
      <c r="T125" s="2736"/>
      <c r="U125" s="2736"/>
      <c r="V125" s="2736"/>
      <c r="W125" s="2736"/>
      <c r="X125" s="2736"/>
      <c r="Y125" s="2736"/>
      <c r="Z125" s="2737"/>
      <c r="AA125" s="2737"/>
      <c r="AB125" s="2737"/>
      <c r="AC125" s="2736">
        <v>10000</v>
      </c>
      <c r="AD125" s="2747">
        <f>AE125+AF125</f>
        <v>5000</v>
      </c>
      <c r="AE125" s="2736"/>
      <c r="AF125" s="2736">
        <f>L125-S125</f>
        <v>5000</v>
      </c>
      <c r="AG125" s="2737"/>
      <c r="AH125" s="2737"/>
      <c r="AI125" s="2737"/>
      <c r="AJ125" s="2737"/>
      <c r="AK125" s="2737"/>
      <c r="AL125" s="2737"/>
      <c r="AM125" s="2737"/>
      <c r="AN125" s="2737"/>
      <c r="AO125" s="2737"/>
      <c r="AP125" s="2736"/>
      <c r="AQ125" s="2736"/>
      <c r="AR125" s="2736"/>
      <c r="AS125" s="2686"/>
      <c r="AT125" s="2719"/>
      <c r="AU125" s="2719"/>
      <c r="AV125" s="2719"/>
      <c r="AW125" s="2719"/>
      <c r="AX125" s="2719"/>
      <c r="AY125" s="2719"/>
      <c r="AZ125" s="2719"/>
      <c r="BA125" s="2719"/>
      <c r="BB125" s="2719"/>
      <c r="BC125" s="2719"/>
      <c r="BD125" s="2719"/>
      <c r="BE125" s="2719"/>
      <c r="BF125" s="2719"/>
      <c r="BG125" s="2719"/>
      <c r="BH125" s="2719"/>
    </row>
    <row r="126" spans="1:60" s="2720" customFormat="1" ht="16.5" hidden="1" customHeight="1" x14ac:dyDescent="0.25">
      <c r="A126" s="2732" t="s">
        <v>23</v>
      </c>
      <c r="B126" s="2733" t="s">
        <v>502</v>
      </c>
      <c r="C126" s="2761">
        <f t="shared" si="208"/>
        <v>0</v>
      </c>
      <c r="D126" s="2752"/>
      <c r="E126" s="2752"/>
      <c r="F126" s="2752"/>
      <c r="G126" s="2752"/>
      <c r="H126" s="2752"/>
      <c r="I126" s="2752"/>
      <c r="J126" s="2752"/>
      <c r="K126" s="2752"/>
      <c r="L126" s="2736">
        <f t="shared" si="276"/>
        <v>0</v>
      </c>
      <c r="M126" s="2736">
        <f t="shared" si="277"/>
        <v>0</v>
      </c>
      <c r="N126" s="2752"/>
      <c r="O126" s="2736"/>
      <c r="P126" s="2737"/>
      <c r="Q126" s="2737"/>
      <c r="R126" s="2737"/>
      <c r="S126" s="2736"/>
      <c r="T126" s="2736"/>
      <c r="U126" s="2736"/>
      <c r="V126" s="2736"/>
      <c r="W126" s="2736"/>
      <c r="X126" s="2736"/>
      <c r="Y126" s="2736"/>
      <c r="Z126" s="2737"/>
      <c r="AA126" s="2737"/>
      <c r="AB126" s="2737"/>
      <c r="AC126" s="2736"/>
      <c r="AD126" s="2736"/>
      <c r="AE126" s="2736"/>
      <c r="AF126" s="2736"/>
      <c r="AG126" s="2737"/>
      <c r="AH126" s="2737"/>
      <c r="AI126" s="2737"/>
      <c r="AJ126" s="2737"/>
      <c r="AK126" s="2737"/>
      <c r="AL126" s="2737"/>
      <c r="AM126" s="2737"/>
      <c r="AN126" s="2737"/>
      <c r="AO126" s="2737"/>
      <c r="AP126" s="2736"/>
      <c r="AQ126" s="2736"/>
      <c r="AR126" s="2736"/>
      <c r="AS126" s="2686"/>
      <c r="AT126" s="2719"/>
      <c r="AU126" s="2719"/>
      <c r="AV126" s="2719"/>
      <c r="AW126" s="2719"/>
      <c r="AX126" s="2719"/>
      <c r="AY126" s="2719"/>
      <c r="AZ126" s="2719"/>
      <c r="BA126" s="2719"/>
      <c r="BB126" s="2719"/>
      <c r="BC126" s="2719"/>
      <c r="BD126" s="2719"/>
      <c r="BE126" s="2719"/>
      <c r="BF126" s="2719"/>
      <c r="BG126" s="2719"/>
      <c r="BH126" s="2719"/>
    </row>
    <row r="127" spans="1:60" s="2720" customFormat="1" ht="40.5" x14ac:dyDescent="0.25">
      <c r="A127" s="2732" t="s">
        <v>1013</v>
      </c>
      <c r="B127" s="2742" t="s">
        <v>2105</v>
      </c>
      <c r="C127" s="2728">
        <f>SUM(C128:I130)</f>
        <v>0.96799999999999997</v>
      </c>
      <c r="D127" s="2728">
        <f t="shared" ref="D127:AM127" si="278">SUM(D128:J130)</f>
        <v>0</v>
      </c>
      <c r="E127" s="2728">
        <f t="shared" si="278"/>
        <v>0.96799999999999997</v>
      </c>
      <c r="F127" s="2728">
        <f t="shared" si="278"/>
        <v>25000.968000000001</v>
      </c>
      <c r="G127" s="2728">
        <f t="shared" si="278"/>
        <v>50000.968000000001</v>
      </c>
      <c r="H127" s="2728">
        <f t="shared" si="278"/>
        <v>50000.968000000001</v>
      </c>
      <c r="I127" s="2728">
        <f t="shared" si="278"/>
        <v>75000.967999999993</v>
      </c>
      <c r="J127" s="2728">
        <f t="shared" si="278"/>
        <v>75000.967999999993</v>
      </c>
      <c r="K127" s="2728">
        <f t="shared" si="278"/>
        <v>75000.967999999993</v>
      </c>
      <c r="L127" s="2746">
        <f t="shared" si="278"/>
        <v>75000</v>
      </c>
      <c r="M127" s="2746">
        <f t="shared" si="278"/>
        <v>50000</v>
      </c>
      <c r="N127" s="2728">
        <f t="shared" si="278"/>
        <v>25000</v>
      </c>
      <c r="O127" s="2746">
        <f t="shared" si="278"/>
        <v>25000</v>
      </c>
      <c r="P127" s="2728">
        <f t="shared" si="278"/>
        <v>0</v>
      </c>
      <c r="Q127" s="2728">
        <f t="shared" si="278"/>
        <v>0</v>
      </c>
      <c r="R127" s="2728">
        <f t="shared" si="278"/>
        <v>0</v>
      </c>
      <c r="S127" s="2728">
        <f t="shared" si="278"/>
        <v>0</v>
      </c>
      <c r="T127" s="2728">
        <f t="shared" si="278"/>
        <v>0</v>
      </c>
      <c r="U127" s="2728">
        <f t="shared" si="278"/>
        <v>0</v>
      </c>
      <c r="V127" s="2728">
        <f t="shared" si="278"/>
        <v>0</v>
      </c>
      <c r="W127" s="2728">
        <f t="shared" si="278"/>
        <v>0</v>
      </c>
      <c r="X127" s="2728">
        <f t="shared" si="278"/>
        <v>0</v>
      </c>
      <c r="Y127" s="2728">
        <f t="shared" si="278"/>
        <v>0</v>
      </c>
      <c r="Z127" s="2728">
        <f t="shared" si="278"/>
        <v>0</v>
      </c>
      <c r="AA127" s="2728">
        <f t="shared" si="278"/>
        <v>0</v>
      </c>
      <c r="AB127" s="2728">
        <f t="shared" si="278"/>
        <v>0</v>
      </c>
      <c r="AC127" s="2728">
        <f t="shared" si="278"/>
        <v>0</v>
      </c>
      <c r="AD127" s="2728">
        <f t="shared" si="278"/>
        <v>0</v>
      </c>
      <c r="AE127" s="2728">
        <f t="shared" si="278"/>
        <v>0</v>
      </c>
      <c r="AF127" s="2728">
        <f t="shared" si="278"/>
        <v>0</v>
      </c>
      <c r="AG127" s="2728">
        <f>SUM(AG128:AM130)</f>
        <v>0</v>
      </c>
      <c r="AH127" s="2728">
        <f t="shared" si="278"/>
        <v>0</v>
      </c>
      <c r="AI127" s="2728">
        <f t="shared" si="278"/>
        <v>0</v>
      </c>
      <c r="AJ127" s="2728">
        <f t="shared" si="278"/>
        <v>0</v>
      </c>
      <c r="AK127" s="2728">
        <f t="shared" si="278"/>
        <v>0</v>
      </c>
      <c r="AL127" s="2728">
        <f t="shared" si="278"/>
        <v>25000.968000000001</v>
      </c>
      <c r="AM127" s="2728">
        <f t="shared" si="278"/>
        <v>25000.968000000001</v>
      </c>
      <c r="AN127" s="2728">
        <f>SUM(AN128:AN130)</f>
        <v>0</v>
      </c>
      <c r="AO127" s="2728">
        <f t="shared" ref="AO127:AR127" si="279">SUM(AO128:AO130)</f>
        <v>0</v>
      </c>
      <c r="AP127" s="2728">
        <f t="shared" si="279"/>
        <v>0</v>
      </c>
      <c r="AQ127" s="2728">
        <f t="shared" si="279"/>
        <v>0</v>
      </c>
      <c r="AR127" s="2728">
        <f t="shared" si="279"/>
        <v>25000.968000000001</v>
      </c>
      <c r="AS127" s="2686"/>
      <c r="AT127" s="2719"/>
      <c r="AU127" s="2719"/>
      <c r="AV127" s="2719"/>
      <c r="AW127" s="2719"/>
      <c r="AX127" s="2719"/>
      <c r="AY127" s="2719"/>
      <c r="AZ127" s="2719"/>
      <c r="BA127" s="2719"/>
      <c r="BB127" s="2719"/>
      <c r="BC127" s="2719"/>
      <c r="BD127" s="2719"/>
      <c r="BE127" s="2719"/>
      <c r="BF127" s="2719"/>
      <c r="BG127" s="2719"/>
      <c r="BH127" s="2719"/>
    </row>
    <row r="128" spans="1:60" s="2720" customFormat="1" ht="16.5" customHeight="1" x14ac:dyDescent="0.25">
      <c r="A128" s="2732" t="s">
        <v>23</v>
      </c>
      <c r="B128" s="2733" t="s">
        <v>1118</v>
      </c>
      <c r="C128" s="2761">
        <f t="shared" si="208"/>
        <v>0.96799999999999997</v>
      </c>
      <c r="D128" s="2752"/>
      <c r="E128" s="2752"/>
      <c r="F128" s="2752"/>
      <c r="G128" s="2752"/>
      <c r="H128" s="2752"/>
      <c r="I128" s="2752"/>
      <c r="J128" s="2752"/>
      <c r="K128" s="2752">
        <v>0.96799999999999997</v>
      </c>
      <c r="L128" s="2736">
        <f>M128+P128</f>
        <v>24000</v>
      </c>
      <c r="M128" s="2736">
        <f>N128+O128</f>
        <v>24000</v>
      </c>
      <c r="N128" s="2752"/>
      <c r="O128" s="2736">
        <v>24000</v>
      </c>
      <c r="P128" s="2761">
        <f>W128+X128</f>
        <v>0</v>
      </c>
      <c r="Q128" s="2736"/>
      <c r="R128" s="2736"/>
      <c r="S128" s="2737">
        <f>SUM(Z128:AC128)</f>
        <v>0</v>
      </c>
      <c r="T128" s="2737"/>
      <c r="U128" s="2737"/>
      <c r="V128" s="2737"/>
      <c r="W128" s="2737"/>
      <c r="X128" s="2737"/>
      <c r="Y128" s="2737"/>
      <c r="Z128" s="2737"/>
      <c r="AA128" s="2737"/>
      <c r="AB128" s="2737"/>
      <c r="AC128" s="2737">
        <v>0</v>
      </c>
      <c r="AD128" s="2761">
        <f>AE128+AF128</f>
        <v>0</v>
      </c>
      <c r="AE128" s="2737"/>
      <c r="AF128" s="2737"/>
      <c r="AG128" s="2737"/>
      <c r="AH128" s="2737"/>
      <c r="AI128" s="2737"/>
      <c r="AJ128" s="2737"/>
      <c r="AK128" s="2737"/>
      <c r="AL128" s="2737"/>
      <c r="AM128" s="2737"/>
      <c r="AN128" s="2737"/>
      <c r="AO128" s="2737"/>
      <c r="AP128" s="2736"/>
      <c r="AQ128" s="2736"/>
      <c r="AR128" s="2736">
        <f>C128+L128</f>
        <v>24000.968000000001</v>
      </c>
      <c r="AS128" s="2686"/>
      <c r="AT128" s="2719"/>
      <c r="AU128" s="2719"/>
      <c r="AV128" s="2719"/>
      <c r="AW128" s="2719"/>
      <c r="AX128" s="2719"/>
      <c r="AY128" s="2719"/>
      <c r="AZ128" s="2719"/>
      <c r="BA128" s="2719"/>
      <c r="BB128" s="2719"/>
      <c r="BC128" s="2719"/>
      <c r="BD128" s="2719"/>
      <c r="BE128" s="2719"/>
      <c r="BF128" s="2719"/>
      <c r="BG128" s="2719"/>
      <c r="BH128" s="2719"/>
    </row>
    <row r="129" spans="1:60" s="2720" customFormat="1" ht="16.5" customHeight="1" x14ac:dyDescent="0.25">
      <c r="A129" s="2732" t="s">
        <v>23</v>
      </c>
      <c r="B129" s="2733" t="s">
        <v>1119</v>
      </c>
      <c r="C129" s="2761">
        <f t="shared" si="208"/>
        <v>0</v>
      </c>
      <c r="D129" s="2752"/>
      <c r="E129" s="2752"/>
      <c r="F129" s="2752"/>
      <c r="G129" s="2752"/>
      <c r="H129" s="2752"/>
      <c r="I129" s="2752"/>
      <c r="J129" s="2752"/>
      <c r="K129" s="2752"/>
      <c r="L129" s="2736">
        <f t="shared" ref="L129:L130" si="280">M129+P129</f>
        <v>1000</v>
      </c>
      <c r="M129" s="2736">
        <f t="shared" ref="M129:M130" si="281">N129+O129</f>
        <v>1000</v>
      </c>
      <c r="N129" s="2752"/>
      <c r="O129" s="2736">
        <v>1000</v>
      </c>
      <c r="P129" s="2761">
        <f>W129+X129</f>
        <v>0</v>
      </c>
      <c r="Q129" s="2736"/>
      <c r="R129" s="2736"/>
      <c r="S129" s="2737">
        <f>SUM(Z129:AC129)</f>
        <v>0</v>
      </c>
      <c r="T129" s="2737"/>
      <c r="U129" s="2737"/>
      <c r="V129" s="2737"/>
      <c r="W129" s="2737"/>
      <c r="X129" s="2737"/>
      <c r="Y129" s="2737"/>
      <c r="Z129" s="2737"/>
      <c r="AA129" s="2737"/>
      <c r="AB129" s="2737"/>
      <c r="AC129" s="2737">
        <v>0</v>
      </c>
      <c r="AD129" s="2761">
        <f>AE129+AF129</f>
        <v>0</v>
      </c>
      <c r="AE129" s="2737"/>
      <c r="AF129" s="2737"/>
      <c r="AG129" s="2737"/>
      <c r="AH129" s="2737"/>
      <c r="AI129" s="2737"/>
      <c r="AJ129" s="2737"/>
      <c r="AK129" s="2737"/>
      <c r="AL129" s="2737"/>
      <c r="AM129" s="2737"/>
      <c r="AN129" s="2737"/>
      <c r="AO129" s="2737"/>
      <c r="AP129" s="2736"/>
      <c r="AQ129" s="2736"/>
      <c r="AR129" s="2736">
        <f>C129+L129</f>
        <v>1000</v>
      </c>
      <c r="AS129" s="2686"/>
      <c r="AT129" s="2719"/>
      <c r="AU129" s="2719"/>
      <c r="AV129" s="2719"/>
      <c r="AW129" s="2719"/>
      <c r="AX129" s="2719"/>
      <c r="AY129" s="2719"/>
      <c r="AZ129" s="2719"/>
      <c r="BA129" s="2719"/>
      <c r="BB129" s="2719"/>
      <c r="BC129" s="2719"/>
      <c r="BD129" s="2719"/>
      <c r="BE129" s="2719"/>
      <c r="BF129" s="2719"/>
      <c r="BG129" s="2719"/>
      <c r="BH129" s="2719"/>
    </row>
    <row r="130" spans="1:60" s="2720" customFormat="1" ht="16.5" hidden="1" customHeight="1" x14ac:dyDescent="0.25">
      <c r="A130" s="2732" t="s">
        <v>23</v>
      </c>
      <c r="B130" s="2733" t="s">
        <v>502</v>
      </c>
      <c r="C130" s="2761">
        <f t="shared" si="208"/>
        <v>0</v>
      </c>
      <c r="D130" s="2752"/>
      <c r="E130" s="2752"/>
      <c r="F130" s="2752"/>
      <c r="G130" s="2752"/>
      <c r="H130" s="2752"/>
      <c r="I130" s="2752"/>
      <c r="J130" s="2752"/>
      <c r="K130" s="2752"/>
      <c r="L130" s="2736">
        <f t="shared" si="280"/>
        <v>0</v>
      </c>
      <c r="M130" s="2736">
        <f t="shared" si="281"/>
        <v>0</v>
      </c>
      <c r="N130" s="2752"/>
      <c r="O130" s="2736"/>
      <c r="P130" s="2737"/>
      <c r="Q130" s="2736"/>
      <c r="R130" s="2736"/>
      <c r="S130" s="2736"/>
      <c r="T130" s="2736"/>
      <c r="U130" s="2736"/>
      <c r="V130" s="2736"/>
      <c r="W130" s="2736"/>
      <c r="X130" s="2736"/>
      <c r="Y130" s="2736"/>
      <c r="Z130" s="2737"/>
      <c r="AA130" s="2737"/>
      <c r="AB130" s="2737"/>
      <c r="AC130" s="2736"/>
      <c r="AD130" s="2736"/>
      <c r="AE130" s="2736"/>
      <c r="AF130" s="2736"/>
      <c r="AG130" s="2737"/>
      <c r="AH130" s="2737"/>
      <c r="AI130" s="2737"/>
      <c r="AJ130" s="2737"/>
      <c r="AK130" s="2737"/>
      <c r="AL130" s="2737"/>
      <c r="AM130" s="2737"/>
      <c r="AN130" s="2737"/>
      <c r="AO130" s="2737"/>
      <c r="AP130" s="2736"/>
      <c r="AQ130" s="2736"/>
      <c r="AR130" s="2736"/>
      <c r="AS130" s="2686"/>
      <c r="AT130" s="2719"/>
      <c r="AU130" s="2719"/>
      <c r="AV130" s="2719"/>
      <c r="AW130" s="2719"/>
      <c r="AX130" s="2719"/>
      <c r="AY130" s="2719"/>
      <c r="AZ130" s="2719"/>
      <c r="BA130" s="2719"/>
      <c r="BB130" s="2719"/>
      <c r="BC130" s="2719"/>
      <c r="BD130" s="2719"/>
      <c r="BE130" s="2719"/>
      <c r="BF130" s="2719"/>
      <c r="BG130" s="2719"/>
      <c r="BH130" s="2719"/>
    </row>
    <row r="131" spans="1:60" s="2679" customFormat="1" ht="24" customHeight="1" x14ac:dyDescent="0.25">
      <c r="A131" s="2726" t="s">
        <v>4</v>
      </c>
      <c r="B131" s="2731" t="s">
        <v>1124</v>
      </c>
      <c r="C131" s="2740">
        <f>SUM(C132:C174)</f>
        <v>0</v>
      </c>
      <c r="D131" s="2740" t="e">
        <f>SUM(D132:D170)+#REF!+SUM(D173:D174)</f>
        <v>#REF!</v>
      </c>
      <c r="E131" s="2740" t="e">
        <f>SUM(E132:E170)+#REF!+SUM(E173:E174)</f>
        <v>#REF!</v>
      </c>
      <c r="F131" s="2740" t="e">
        <f>SUM(F132:F170)+#REF!+SUM(F173:F174)</f>
        <v>#REF!</v>
      </c>
      <c r="G131" s="2740" t="e">
        <f>SUM(G132:G170)+#REF!+SUM(G173:G174)</f>
        <v>#REF!</v>
      </c>
      <c r="H131" s="2740" t="e">
        <f>SUM(H132:H170)+#REF!+SUM(H173:H174)</f>
        <v>#REF!</v>
      </c>
      <c r="I131" s="2740" t="e">
        <f>SUM(I132:I170)+#REF!+SUM(I173:I174)</f>
        <v>#REF!</v>
      </c>
      <c r="J131" s="2740">
        <f>SUM(J132:J174)</f>
        <v>0</v>
      </c>
      <c r="K131" s="2740">
        <f>SUM(K132:K174)</f>
        <v>0</v>
      </c>
      <c r="L131" s="3046">
        <f>SUM(L132:L138)+SUM(L141:L174)</f>
        <v>108606717.41600001</v>
      </c>
      <c r="M131" s="3046">
        <f t="shared" ref="M131:AR131" si="282">SUM(M132:M138)+SUM(M141:M174)</f>
        <v>18597787.940000001</v>
      </c>
      <c r="N131" s="2739">
        <f t="shared" si="282"/>
        <v>0</v>
      </c>
      <c r="O131" s="3046">
        <f t="shared" si="282"/>
        <v>18597787.940000001</v>
      </c>
      <c r="P131" s="3046">
        <f t="shared" si="282"/>
        <v>88661649.475999996</v>
      </c>
      <c r="Q131" s="2739">
        <f t="shared" si="282"/>
        <v>0</v>
      </c>
      <c r="R131" s="3046">
        <f t="shared" si="282"/>
        <v>88661649.475999996</v>
      </c>
      <c r="S131" s="3046">
        <f t="shared" si="282"/>
        <v>98807801.307000011</v>
      </c>
      <c r="T131" s="3046">
        <f t="shared" si="282"/>
        <v>0</v>
      </c>
      <c r="U131" s="3046">
        <f t="shared" si="282"/>
        <v>0</v>
      </c>
      <c r="V131" s="3046">
        <f t="shared" si="282"/>
        <v>0</v>
      </c>
      <c r="W131" s="3046">
        <f t="shared" si="282"/>
        <v>0</v>
      </c>
      <c r="X131" s="3046">
        <f t="shared" si="282"/>
        <v>0</v>
      </c>
      <c r="Y131" s="3046">
        <f t="shared" si="282"/>
        <v>0</v>
      </c>
      <c r="Z131" s="2739">
        <f t="shared" si="282"/>
        <v>0</v>
      </c>
      <c r="AA131" s="2739">
        <f t="shared" si="282"/>
        <v>0</v>
      </c>
      <c r="AB131" s="2739">
        <f t="shared" si="282"/>
        <v>0</v>
      </c>
      <c r="AC131" s="3046">
        <f t="shared" si="282"/>
        <v>98807801.307000011</v>
      </c>
      <c r="AD131" s="3046">
        <f t="shared" si="282"/>
        <v>8872280.6699999999</v>
      </c>
      <c r="AE131" s="2739">
        <f t="shared" si="282"/>
        <v>0</v>
      </c>
      <c r="AF131" s="3046">
        <f t="shared" si="282"/>
        <v>8872280.6699999999</v>
      </c>
      <c r="AG131" s="2739">
        <f t="shared" si="282"/>
        <v>784469.47600000096</v>
      </c>
      <c r="AH131" s="2739">
        <f t="shared" si="282"/>
        <v>0</v>
      </c>
      <c r="AI131" s="2739">
        <f t="shared" si="282"/>
        <v>0</v>
      </c>
      <c r="AJ131" s="2739">
        <f t="shared" si="282"/>
        <v>0</v>
      </c>
      <c r="AK131" s="2739">
        <f t="shared" si="282"/>
        <v>0</v>
      </c>
      <c r="AL131" s="2739">
        <f t="shared" si="282"/>
        <v>0</v>
      </c>
      <c r="AM131" s="2739">
        <f t="shared" si="282"/>
        <v>0</v>
      </c>
      <c r="AN131" s="2739">
        <f t="shared" si="282"/>
        <v>0</v>
      </c>
      <c r="AO131" s="2739">
        <f t="shared" si="282"/>
        <v>0</v>
      </c>
      <c r="AP131" s="2739">
        <f t="shared" si="282"/>
        <v>0</v>
      </c>
      <c r="AQ131" s="3046">
        <f t="shared" si="282"/>
        <v>784469.47600000096</v>
      </c>
      <c r="AR131" s="3047">
        <f t="shared" si="282"/>
        <v>141957.40000000002</v>
      </c>
      <c r="AS131" s="2677"/>
      <c r="AT131" s="2678"/>
      <c r="AU131" s="2678"/>
      <c r="AV131" s="2678"/>
      <c r="AW131" s="2678"/>
      <c r="AX131" s="2678"/>
      <c r="AY131" s="2678"/>
      <c r="AZ131" s="2678"/>
      <c r="BA131" s="2678"/>
      <c r="BB131" s="2678"/>
      <c r="BC131" s="2678"/>
      <c r="BD131" s="2678"/>
      <c r="BE131" s="2678"/>
      <c r="BF131" s="2678"/>
      <c r="BG131" s="2678"/>
      <c r="BH131" s="2678"/>
    </row>
    <row r="132" spans="1:60" s="2692" customFormat="1" ht="36.75" customHeight="1" x14ac:dyDescent="0.25">
      <c r="A132" s="2741">
        <v>1</v>
      </c>
      <c r="B132" s="2733" t="s">
        <v>644</v>
      </c>
      <c r="C132" s="2761"/>
      <c r="D132" s="2737"/>
      <c r="E132" s="2737"/>
      <c r="F132" s="2737"/>
      <c r="G132" s="2737"/>
      <c r="H132" s="2737"/>
      <c r="I132" s="2737"/>
      <c r="J132" s="2737"/>
      <c r="K132" s="2737"/>
      <c r="L132" s="2736">
        <f>M132+P132</f>
        <v>140000</v>
      </c>
      <c r="M132" s="2736">
        <f>N132+O132</f>
        <v>140000</v>
      </c>
      <c r="N132" s="2737"/>
      <c r="O132" s="2736">
        <v>140000</v>
      </c>
      <c r="P132" s="2736"/>
      <c r="Q132" s="2736"/>
      <c r="R132" s="2736"/>
      <c r="S132" s="2736">
        <f>SUM(Z132:AC132)</f>
        <v>139090</v>
      </c>
      <c r="T132" s="2736"/>
      <c r="U132" s="2736"/>
      <c r="V132" s="2736"/>
      <c r="W132" s="2736"/>
      <c r="X132" s="2736"/>
      <c r="Y132" s="2736"/>
      <c r="Z132" s="2736"/>
      <c r="AA132" s="2736"/>
      <c r="AB132" s="2736"/>
      <c r="AC132" s="2736">
        <v>139090</v>
      </c>
      <c r="AD132" s="2737">
        <f>AE132+AF132</f>
        <v>0</v>
      </c>
      <c r="AE132" s="2736"/>
      <c r="AF132" s="2736"/>
      <c r="AG132" s="2737">
        <f>SUM(AN132:AQ132)</f>
        <v>910</v>
      </c>
      <c r="AH132" s="2737"/>
      <c r="AI132" s="2737"/>
      <c r="AJ132" s="2737"/>
      <c r="AK132" s="2737"/>
      <c r="AL132" s="2737"/>
      <c r="AM132" s="2737"/>
      <c r="AN132" s="2737"/>
      <c r="AO132" s="2737"/>
      <c r="AP132" s="2736"/>
      <c r="AQ132" s="2736">
        <v>910</v>
      </c>
      <c r="AR132" s="2736"/>
      <c r="AS132" s="2682"/>
      <c r="AT132" s="2691"/>
      <c r="AU132" s="2691"/>
      <c r="AV132" s="2691"/>
      <c r="AW132" s="2691"/>
      <c r="AX132" s="2691"/>
      <c r="AY132" s="2691"/>
      <c r="AZ132" s="2691"/>
      <c r="BA132" s="2691"/>
      <c r="BB132" s="2691"/>
      <c r="BC132" s="2691"/>
      <c r="BD132" s="2691"/>
      <c r="BE132" s="2691"/>
      <c r="BF132" s="2691"/>
      <c r="BG132" s="2691"/>
      <c r="BH132" s="2691"/>
    </row>
    <row r="133" spans="1:60" s="2692" customFormat="1" ht="48.75" customHeight="1" x14ac:dyDescent="0.25">
      <c r="A133" s="2741">
        <v>2</v>
      </c>
      <c r="B133" s="2721" t="s">
        <v>645</v>
      </c>
      <c r="C133" s="2761"/>
      <c r="D133" s="2737"/>
      <c r="E133" s="2737"/>
      <c r="F133" s="2737"/>
      <c r="G133" s="2737"/>
      <c r="H133" s="2737"/>
      <c r="I133" s="2737"/>
      <c r="J133" s="2737"/>
      <c r="K133" s="2737"/>
      <c r="L133" s="2736">
        <f t="shared" ref="L133" si="283">M133+P133</f>
        <v>327000</v>
      </c>
      <c r="M133" s="2736">
        <f t="shared" ref="M133:M143" si="284">N133+O133</f>
        <v>327000</v>
      </c>
      <c r="N133" s="2737"/>
      <c r="O133" s="2736">
        <v>327000</v>
      </c>
      <c r="P133" s="2736"/>
      <c r="Q133" s="2736"/>
      <c r="R133" s="2736"/>
      <c r="S133" s="2736">
        <f t="shared" ref="S133:S174" si="285">SUM(Z133:AC133)</f>
        <v>327000</v>
      </c>
      <c r="T133" s="2736"/>
      <c r="U133" s="2736"/>
      <c r="V133" s="2736"/>
      <c r="W133" s="2736"/>
      <c r="X133" s="2736"/>
      <c r="Y133" s="2736"/>
      <c r="Z133" s="2736"/>
      <c r="AA133" s="2736"/>
      <c r="AB133" s="2736"/>
      <c r="AC133" s="2736">
        <v>327000</v>
      </c>
      <c r="AD133" s="2737">
        <f t="shared" ref="AD133:AD174" si="286">AE133+AF133</f>
        <v>0</v>
      </c>
      <c r="AE133" s="2736"/>
      <c r="AF133" s="2736"/>
      <c r="AG133" s="2737">
        <f t="shared" ref="AG133:AG174" si="287">SUM(AN133:AQ133)</f>
        <v>0</v>
      </c>
      <c r="AH133" s="2737"/>
      <c r="AI133" s="2737"/>
      <c r="AJ133" s="2737"/>
      <c r="AK133" s="2737"/>
      <c r="AL133" s="2737"/>
      <c r="AM133" s="2737"/>
      <c r="AN133" s="2737"/>
      <c r="AO133" s="2737"/>
      <c r="AP133" s="2736"/>
      <c r="AQ133" s="2736"/>
      <c r="AR133" s="2736"/>
      <c r="AS133" s="2682"/>
      <c r="AT133" s="2691"/>
      <c r="AU133" s="2691"/>
      <c r="AV133" s="2691"/>
      <c r="AW133" s="2691"/>
      <c r="AX133" s="2691"/>
      <c r="AY133" s="2691"/>
      <c r="AZ133" s="2691"/>
      <c r="BA133" s="2691"/>
      <c r="BB133" s="2691"/>
      <c r="BC133" s="2691"/>
      <c r="BD133" s="2691"/>
      <c r="BE133" s="2691"/>
      <c r="BF133" s="2691"/>
      <c r="BG133" s="2691"/>
      <c r="BH133" s="2691"/>
    </row>
    <row r="134" spans="1:60" s="2692" customFormat="1" ht="33.75" customHeight="1" x14ac:dyDescent="0.25">
      <c r="A134" s="2741">
        <v>3</v>
      </c>
      <c r="B134" s="2763" t="s">
        <v>1397</v>
      </c>
      <c r="C134" s="2761"/>
      <c r="D134" s="2737"/>
      <c r="E134" s="2737"/>
      <c r="F134" s="2737"/>
      <c r="G134" s="2737"/>
      <c r="H134" s="2737"/>
      <c r="I134" s="2737"/>
      <c r="J134" s="2737"/>
      <c r="K134" s="2737"/>
      <c r="L134" s="2736">
        <f>M134+P134</f>
        <v>452000</v>
      </c>
      <c r="M134" s="2736">
        <f t="shared" si="284"/>
        <v>452000</v>
      </c>
      <c r="N134" s="2737"/>
      <c r="O134" s="2736">
        <v>452000</v>
      </c>
      <c r="P134" s="2736"/>
      <c r="Q134" s="2736"/>
      <c r="R134" s="2736"/>
      <c r="S134" s="2736">
        <f t="shared" si="285"/>
        <v>276189.29700000002</v>
      </c>
      <c r="T134" s="2736"/>
      <c r="U134" s="2736"/>
      <c r="V134" s="2736"/>
      <c r="W134" s="2736"/>
      <c r="X134" s="2736"/>
      <c r="Y134" s="2736"/>
      <c r="Z134" s="2736"/>
      <c r="AA134" s="2736"/>
      <c r="AB134" s="2736"/>
      <c r="AC134" s="2736">
        <v>276189.29700000002</v>
      </c>
      <c r="AD134" s="2737">
        <f t="shared" si="286"/>
        <v>0</v>
      </c>
      <c r="AE134" s="2736"/>
      <c r="AF134" s="2736"/>
      <c r="AG134" s="2737">
        <f t="shared" si="287"/>
        <v>175810.70300000001</v>
      </c>
      <c r="AH134" s="2737"/>
      <c r="AI134" s="2737"/>
      <c r="AJ134" s="2737"/>
      <c r="AK134" s="2737"/>
      <c r="AL134" s="2737"/>
      <c r="AM134" s="2737"/>
      <c r="AN134" s="2737"/>
      <c r="AO134" s="2737"/>
      <c r="AP134" s="2736"/>
      <c r="AQ134" s="2736">
        <v>175810.70300000001</v>
      </c>
      <c r="AR134" s="2736"/>
      <c r="AS134" s="2682"/>
      <c r="AT134" s="2691"/>
      <c r="AU134" s="2691"/>
      <c r="AV134" s="2691"/>
      <c r="AW134" s="2691"/>
      <c r="AX134" s="2691"/>
      <c r="AY134" s="2691"/>
      <c r="AZ134" s="2691"/>
      <c r="BA134" s="2691"/>
      <c r="BB134" s="2691"/>
      <c r="BC134" s="2691"/>
      <c r="BD134" s="2691"/>
      <c r="BE134" s="2691"/>
      <c r="BF134" s="2691"/>
      <c r="BG134" s="2691"/>
      <c r="BH134" s="2691"/>
    </row>
    <row r="135" spans="1:60" s="2692" customFormat="1" ht="33.75" customHeight="1" x14ac:dyDescent="0.25">
      <c r="A135" s="2741">
        <v>4</v>
      </c>
      <c r="B135" s="3039" t="s">
        <v>2332</v>
      </c>
      <c r="C135" s="2761"/>
      <c r="D135" s="2737"/>
      <c r="E135" s="2737"/>
      <c r="F135" s="2737"/>
      <c r="G135" s="2737"/>
      <c r="H135" s="2737"/>
      <c r="I135" s="2737"/>
      <c r="J135" s="2737"/>
      <c r="K135" s="2737"/>
      <c r="L135" s="2736">
        <f>M135+P135</f>
        <v>125000</v>
      </c>
      <c r="M135" s="2736">
        <f t="shared" si="284"/>
        <v>125000</v>
      </c>
      <c r="N135" s="2737"/>
      <c r="O135" s="2736">
        <v>125000</v>
      </c>
      <c r="P135" s="2736"/>
      <c r="Q135" s="2736"/>
      <c r="R135" s="2736"/>
      <c r="S135" s="2737">
        <f t="shared" si="285"/>
        <v>125000</v>
      </c>
      <c r="T135" s="2736"/>
      <c r="U135" s="2736"/>
      <c r="V135" s="2736"/>
      <c r="W135" s="2736"/>
      <c r="X135" s="2736"/>
      <c r="Y135" s="2736"/>
      <c r="Z135" s="2736"/>
      <c r="AA135" s="2736"/>
      <c r="AB135" s="2736"/>
      <c r="AC135" s="2736">
        <v>125000</v>
      </c>
      <c r="AD135" s="2737">
        <f t="shared" si="286"/>
        <v>0</v>
      </c>
      <c r="AE135" s="2736"/>
      <c r="AF135" s="2736"/>
      <c r="AG135" s="2737">
        <f t="shared" si="287"/>
        <v>0</v>
      </c>
      <c r="AH135" s="2737"/>
      <c r="AI135" s="2737"/>
      <c r="AJ135" s="2737"/>
      <c r="AK135" s="2737"/>
      <c r="AL135" s="2737"/>
      <c r="AM135" s="2737"/>
      <c r="AN135" s="2737"/>
      <c r="AO135" s="2737"/>
      <c r="AP135" s="2736"/>
      <c r="AQ135" s="2736"/>
      <c r="AR135" s="2736"/>
      <c r="AS135" s="2682"/>
      <c r="AT135" s="2691"/>
      <c r="AU135" s="2691"/>
      <c r="AV135" s="2691"/>
      <c r="AW135" s="2691"/>
      <c r="AX135" s="2691"/>
      <c r="AY135" s="2691"/>
      <c r="AZ135" s="2691"/>
      <c r="BA135" s="2691"/>
      <c r="BB135" s="2691"/>
      <c r="BC135" s="2691"/>
      <c r="BD135" s="2691"/>
      <c r="BE135" s="2691"/>
      <c r="BF135" s="2691"/>
      <c r="BG135" s="2691"/>
      <c r="BH135" s="2691"/>
    </row>
    <row r="136" spans="1:60" s="2692" customFormat="1" ht="33.75" customHeight="1" x14ac:dyDescent="0.25">
      <c r="A136" s="2741">
        <v>5</v>
      </c>
      <c r="B136" s="3039" t="s">
        <v>641</v>
      </c>
      <c r="C136" s="2761"/>
      <c r="D136" s="2737"/>
      <c r="E136" s="2737"/>
      <c r="F136" s="2737"/>
      <c r="G136" s="2737"/>
      <c r="H136" s="2737"/>
      <c r="I136" s="2737"/>
      <c r="J136" s="2737"/>
      <c r="K136" s="2737"/>
      <c r="L136" s="2736">
        <f>M136+P136</f>
        <v>62100</v>
      </c>
      <c r="M136" s="2736">
        <f t="shared" si="284"/>
        <v>62100</v>
      </c>
      <c r="N136" s="2737"/>
      <c r="O136" s="2736">
        <v>62100</v>
      </c>
      <c r="P136" s="2736"/>
      <c r="Q136" s="2736"/>
      <c r="R136" s="2736"/>
      <c r="S136" s="2737">
        <f t="shared" si="285"/>
        <v>62100</v>
      </c>
      <c r="T136" s="2736"/>
      <c r="U136" s="2736"/>
      <c r="V136" s="2736"/>
      <c r="W136" s="2736"/>
      <c r="X136" s="2736"/>
      <c r="Y136" s="2736"/>
      <c r="Z136" s="2736"/>
      <c r="AA136" s="2736"/>
      <c r="AB136" s="2736"/>
      <c r="AC136" s="2736">
        <v>62100</v>
      </c>
      <c r="AD136" s="2737">
        <f t="shared" si="286"/>
        <v>0</v>
      </c>
      <c r="AE136" s="2736"/>
      <c r="AF136" s="2736"/>
      <c r="AG136" s="2737">
        <f t="shared" si="287"/>
        <v>0</v>
      </c>
      <c r="AH136" s="2737"/>
      <c r="AI136" s="2737"/>
      <c r="AJ136" s="2737"/>
      <c r="AK136" s="2737"/>
      <c r="AL136" s="2737"/>
      <c r="AM136" s="2737"/>
      <c r="AN136" s="2737"/>
      <c r="AO136" s="2737"/>
      <c r="AP136" s="2736"/>
      <c r="AQ136" s="2736"/>
      <c r="AR136" s="2736"/>
      <c r="AS136" s="2682"/>
      <c r="AT136" s="2691"/>
      <c r="AU136" s="2691"/>
      <c r="AV136" s="2691"/>
      <c r="AW136" s="2691"/>
      <c r="AX136" s="2691"/>
      <c r="AY136" s="2691"/>
      <c r="AZ136" s="2691"/>
      <c r="BA136" s="2691"/>
      <c r="BB136" s="2691"/>
      <c r="BC136" s="2691"/>
      <c r="BD136" s="2691"/>
      <c r="BE136" s="2691"/>
      <c r="BF136" s="2691"/>
      <c r="BG136" s="2691"/>
      <c r="BH136" s="2691"/>
    </row>
    <row r="137" spans="1:60" s="2692" customFormat="1" ht="33.75" customHeight="1" x14ac:dyDescent="0.25">
      <c r="A137" s="2741">
        <v>6</v>
      </c>
      <c r="B137" s="3039" t="s">
        <v>2323</v>
      </c>
      <c r="C137" s="2761"/>
      <c r="D137" s="2737"/>
      <c r="E137" s="2737"/>
      <c r="F137" s="2737"/>
      <c r="G137" s="2737"/>
      <c r="H137" s="2737"/>
      <c r="I137" s="2737"/>
      <c r="J137" s="2737"/>
      <c r="K137" s="2737"/>
      <c r="L137" s="2736">
        <f>M137+P137</f>
        <v>102222</v>
      </c>
      <c r="M137" s="2736">
        <f t="shared" si="284"/>
        <v>102222</v>
      </c>
      <c r="N137" s="2737"/>
      <c r="O137" s="2736">
        <v>102222</v>
      </c>
      <c r="P137" s="2736"/>
      <c r="Q137" s="2736"/>
      <c r="R137" s="2736"/>
      <c r="S137" s="2737">
        <f t="shared" si="285"/>
        <v>102214.8</v>
      </c>
      <c r="T137" s="2736"/>
      <c r="U137" s="2736"/>
      <c r="V137" s="2736"/>
      <c r="W137" s="2736"/>
      <c r="X137" s="2736"/>
      <c r="Y137" s="2736"/>
      <c r="Z137" s="2736"/>
      <c r="AA137" s="2736"/>
      <c r="AB137" s="2736"/>
      <c r="AC137" s="3048">
        <v>102214.8</v>
      </c>
      <c r="AD137" s="2737">
        <f t="shared" si="286"/>
        <v>0</v>
      </c>
      <c r="AE137" s="2736"/>
      <c r="AF137" s="2736"/>
      <c r="AG137" s="2737">
        <f t="shared" si="287"/>
        <v>0</v>
      </c>
      <c r="AH137" s="2737"/>
      <c r="AI137" s="2737"/>
      <c r="AJ137" s="2737"/>
      <c r="AK137" s="2737"/>
      <c r="AL137" s="2737"/>
      <c r="AM137" s="2737"/>
      <c r="AN137" s="2737"/>
      <c r="AO137" s="2737"/>
      <c r="AP137" s="2736"/>
      <c r="AQ137" s="2736"/>
      <c r="AR137" s="2736"/>
      <c r="AS137" s="2682"/>
      <c r="AT137" s="2691"/>
      <c r="AU137" s="2691"/>
      <c r="AV137" s="2691"/>
      <c r="AW137" s="2691"/>
      <c r="AX137" s="2691"/>
      <c r="AY137" s="2691"/>
      <c r="AZ137" s="2691"/>
      <c r="BA137" s="2691"/>
      <c r="BB137" s="2691"/>
      <c r="BC137" s="2691"/>
      <c r="BD137" s="2691"/>
      <c r="BE137" s="2691"/>
      <c r="BF137" s="2691"/>
      <c r="BG137" s="2691"/>
      <c r="BH137" s="2691"/>
    </row>
    <row r="138" spans="1:60" s="2692" customFormat="1" ht="33.75" customHeight="1" x14ac:dyDescent="0.25">
      <c r="A138" s="2741">
        <v>7</v>
      </c>
      <c r="B138" s="3039" t="s">
        <v>2324</v>
      </c>
      <c r="C138" s="2761"/>
      <c r="D138" s="2737"/>
      <c r="E138" s="2737"/>
      <c r="F138" s="2737"/>
      <c r="G138" s="2737"/>
      <c r="H138" s="2737"/>
      <c r="I138" s="2737"/>
      <c r="J138" s="2737"/>
      <c r="K138" s="2737"/>
      <c r="L138" s="2736">
        <f>L139+L140</f>
        <v>11233841.5</v>
      </c>
      <c r="M138" s="2736">
        <f>M139+M140</f>
        <v>9886561.5</v>
      </c>
      <c r="N138" s="2737"/>
      <c r="O138" s="2736">
        <f>O139+O140</f>
        <v>9886561.5</v>
      </c>
      <c r="P138" s="2736"/>
      <c r="Q138" s="2736"/>
      <c r="R138" s="2736"/>
      <c r="S138" s="2736">
        <f>S139+S140</f>
        <v>11216941.5</v>
      </c>
      <c r="T138" s="2736"/>
      <c r="U138" s="2736"/>
      <c r="V138" s="2736"/>
      <c r="W138" s="2736"/>
      <c r="X138" s="2736"/>
      <c r="Y138" s="2736"/>
      <c r="Z138" s="2736"/>
      <c r="AA138" s="2736"/>
      <c r="AB138" s="2736"/>
      <c r="AC138" s="2736">
        <f>AC139+AC140</f>
        <v>11216941.5</v>
      </c>
      <c r="AD138" s="2736">
        <f>AD139+AD140</f>
        <v>16900</v>
      </c>
      <c r="AE138" s="2736"/>
      <c r="AF138" s="2736">
        <f>AF139+AF140</f>
        <v>16900</v>
      </c>
      <c r="AG138" s="2737">
        <f>AG139+AG140</f>
        <v>0</v>
      </c>
      <c r="AH138" s="2737"/>
      <c r="AI138" s="2737"/>
      <c r="AJ138" s="2737"/>
      <c r="AK138" s="2737"/>
      <c r="AL138" s="2737"/>
      <c r="AM138" s="2737"/>
      <c r="AN138" s="2737"/>
      <c r="AO138" s="2737"/>
      <c r="AP138" s="2736"/>
      <c r="AQ138" s="2736"/>
      <c r="AR138" s="2736"/>
      <c r="AS138" s="2682"/>
      <c r="AT138" s="2691"/>
      <c r="AU138" s="2691"/>
      <c r="AV138" s="2691"/>
      <c r="AW138" s="2691"/>
      <c r="AX138" s="2691"/>
      <c r="AY138" s="2691"/>
      <c r="AZ138" s="2691"/>
      <c r="BA138" s="2691"/>
      <c r="BB138" s="2691"/>
      <c r="BC138" s="2691"/>
      <c r="BD138" s="2691"/>
      <c r="BE138" s="2691"/>
      <c r="BF138" s="2691"/>
      <c r="BG138" s="2691"/>
      <c r="BH138" s="2691"/>
    </row>
    <row r="139" spans="1:60" s="2692" customFormat="1" ht="33.75" customHeight="1" x14ac:dyDescent="0.25">
      <c r="A139" s="2741"/>
      <c r="B139" s="3040" t="s">
        <v>2325</v>
      </c>
      <c r="C139" s="2761"/>
      <c r="D139" s="2737"/>
      <c r="E139" s="2737"/>
      <c r="F139" s="2737"/>
      <c r="G139" s="2737"/>
      <c r="H139" s="2737"/>
      <c r="I139" s="2737"/>
      <c r="J139" s="2737"/>
      <c r="K139" s="2737"/>
      <c r="L139" s="2736">
        <f t="shared" ref="L139:L146" si="288">M139+P139</f>
        <v>9886561.5</v>
      </c>
      <c r="M139" s="2736">
        <f t="shared" si="284"/>
        <v>9886561.5</v>
      </c>
      <c r="N139" s="2737"/>
      <c r="O139" s="2736">
        <v>9886561.5</v>
      </c>
      <c r="P139" s="2736"/>
      <c r="Q139" s="2736"/>
      <c r="R139" s="2736"/>
      <c r="S139" s="2736">
        <f t="shared" si="285"/>
        <v>9886561.5</v>
      </c>
      <c r="T139" s="2736"/>
      <c r="U139" s="2736"/>
      <c r="V139" s="2736"/>
      <c r="W139" s="2736"/>
      <c r="X139" s="2736"/>
      <c r="Y139" s="2736"/>
      <c r="Z139" s="2736"/>
      <c r="AA139" s="2736"/>
      <c r="AB139" s="2736"/>
      <c r="AC139" s="2736">
        <v>9886561.5</v>
      </c>
      <c r="AD139" s="2737">
        <f t="shared" si="286"/>
        <v>0</v>
      </c>
      <c r="AE139" s="2736"/>
      <c r="AF139" s="2736"/>
      <c r="AG139" s="2737">
        <f t="shared" si="287"/>
        <v>0</v>
      </c>
      <c r="AH139" s="2737"/>
      <c r="AI139" s="2737"/>
      <c r="AJ139" s="2737"/>
      <c r="AK139" s="2737"/>
      <c r="AL139" s="2737"/>
      <c r="AM139" s="2737"/>
      <c r="AN139" s="2737"/>
      <c r="AO139" s="2737"/>
      <c r="AP139" s="2736"/>
      <c r="AQ139" s="2736"/>
      <c r="AR139" s="2736"/>
      <c r="AS139" s="2682"/>
      <c r="AT139" s="2691"/>
      <c r="AU139" s="2691"/>
      <c r="AV139" s="2691"/>
      <c r="AW139" s="2691"/>
      <c r="AX139" s="2691"/>
      <c r="AY139" s="2691"/>
      <c r="AZ139" s="2691"/>
      <c r="BA139" s="2691"/>
      <c r="BB139" s="2691"/>
      <c r="BC139" s="2691"/>
      <c r="BD139" s="2691"/>
      <c r="BE139" s="2691"/>
      <c r="BF139" s="2691"/>
      <c r="BG139" s="2691"/>
      <c r="BH139" s="2691"/>
    </row>
    <row r="140" spans="1:60" s="2692" customFormat="1" ht="33.75" customHeight="1" x14ac:dyDescent="0.25">
      <c r="A140" s="2741"/>
      <c r="B140" s="3040" t="s">
        <v>2326</v>
      </c>
      <c r="C140" s="2761"/>
      <c r="D140" s="2737"/>
      <c r="E140" s="2737"/>
      <c r="F140" s="2737"/>
      <c r="G140" s="2737"/>
      <c r="H140" s="2737"/>
      <c r="I140" s="2737"/>
      <c r="J140" s="2737"/>
      <c r="K140" s="2737"/>
      <c r="L140" s="2736">
        <f t="shared" si="288"/>
        <v>1347280</v>
      </c>
      <c r="M140" s="2736">
        <f t="shared" si="284"/>
        <v>0</v>
      </c>
      <c r="N140" s="2737"/>
      <c r="O140" s="2736"/>
      <c r="P140" s="2764">
        <f>Q140+R140</f>
        <v>1347280</v>
      </c>
      <c r="Q140" s="2736"/>
      <c r="R140" s="2736">
        <f>900000+447280</f>
        <v>1347280</v>
      </c>
      <c r="S140" s="2736">
        <f t="shared" si="285"/>
        <v>1330380</v>
      </c>
      <c r="T140" s="2736"/>
      <c r="U140" s="2736"/>
      <c r="V140" s="2736"/>
      <c r="W140" s="2736"/>
      <c r="X140" s="2736"/>
      <c r="Y140" s="2736"/>
      <c r="Z140" s="2736"/>
      <c r="AA140" s="2736"/>
      <c r="AB140" s="2736"/>
      <c r="AC140" s="2736">
        <v>1330380</v>
      </c>
      <c r="AD140" s="2736">
        <f t="shared" si="286"/>
        <v>16900</v>
      </c>
      <c r="AE140" s="2736"/>
      <c r="AF140" s="2736">
        <f>L140-AC140</f>
        <v>16900</v>
      </c>
      <c r="AG140" s="2737">
        <f t="shared" si="287"/>
        <v>0</v>
      </c>
      <c r="AH140" s="2737"/>
      <c r="AI140" s="2737"/>
      <c r="AJ140" s="2737"/>
      <c r="AK140" s="2737"/>
      <c r="AL140" s="2737"/>
      <c r="AM140" s="2737"/>
      <c r="AN140" s="2737"/>
      <c r="AO140" s="2737"/>
      <c r="AP140" s="2736"/>
      <c r="AQ140" s="2736"/>
      <c r="AR140" s="2736"/>
      <c r="AS140" s="2682"/>
      <c r="AT140" s="2691"/>
      <c r="AU140" s="2691"/>
      <c r="AV140" s="2691"/>
      <c r="AW140" s="2691"/>
      <c r="AX140" s="2691"/>
      <c r="AY140" s="2691"/>
      <c r="AZ140" s="2691"/>
      <c r="BA140" s="2691"/>
      <c r="BB140" s="2691"/>
      <c r="BC140" s="2691"/>
      <c r="BD140" s="2691"/>
      <c r="BE140" s="2691"/>
      <c r="BF140" s="2691"/>
      <c r="BG140" s="2691"/>
      <c r="BH140" s="2691"/>
    </row>
    <row r="141" spans="1:60" s="2689" customFormat="1" ht="45.75" customHeight="1" x14ac:dyDescent="0.25">
      <c r="A141" s="2741">
        <v>8</v>
      </c>
      <c r="B141" s="2690" t="s">
        <v>2166</v>
      </c>
      <c r="C141" s="2761"/>
      <c r="D141" s="2737"/>
      <c r="E141" s="2737"/>
      <c r="F141" s="2737"/>
      <c r="G141" s="2737"/>
      <c r="H141" s="2737"/>
      <c r="I141" s="2737"/>
      <c r="J141" s="2737"/>
      <c r="K141" s="2737"/>
      <c r="L141" s="2736">
        <f t="shared" si="288"/>
        <v>720000</v>
      </c>
      <c r="M141" s="2736">
        <f t="shared" si="284"/>
        <v>600000</v>
      </c>
      <c r="N141" s="2736"/>
      <c r="O141" s="2736">
        <v>600000</v>
      </c>
      <c r="P141" s="2764">
        <f>Q141+R141</f>
        <v>120000</v>
      </c>
      <c r="Q141" s="2764"/>
      <c r="R141" s="2747">
        <v>120000</v>
      </c>
      <c r="S141" s="2736">
        <f t="shared" si="285"/>
        <v>720000</v>
      </c>
      <c r="T141" s="2764"/>
      <c r="U141" s="2764"/>
      <c r="V141" s="2764"/>
      <c r="W141" s="2764"/>
      <c r="X141" s="2764"/>
      <c r="Y141" s="2764"/>
      <c r="Z141" s="2736"/>
      <c r="AA141" s="2736"/>
      <c r="AB141" s="2736"/>
      <c r="AC141" s="2736">
        <v>720000</v>
      </c>
      <c r="AD141" s="2737">
        <f t="shared" si="286"/>
        <v>0</v>
      </c>
      <c r="AE141" s="2736"/>
      <c r="AF141" s="2736"/>
      <c r="AG141" s="2737">
        <f t="shared" si="287"/>
        <v>0</v>
      </c>
      <c r="AH141" s="2737"/>
      <c r="AI141" s="2737"/>
      <c r="AJ141" s="2737"/>
      <c r="AK141" s="2737"/>
      <c r="AL141" s="2737"/>
      <c r="AM141" s="2737"/>
      <c r="AN141" s="2737"/>
      <c r="AO141" s="2737"/>
      <c r="AP141" s="2736"/>
      <c r="AQ141" s="2736"/>
      <c r="AR141" s="2736"/>
      <c r="AS141" s="2687"/>
      <c r="AT141" s="2688"/>
      <c r="AU141" s="2688"/>
      <c r="AV141" s="2688"/>
      <c r="AW141" s="2688"/>
      <c r="AX141" s="2688"/>
      <c r="AY141" s="2688"/>
      <c r="AZ141" s="2688"/>
      <c r="BA141" s="2688"/>
      <c r="BB141" s="2688"/>
      <c r="BC141" s="2688"/>
      <c r="BD141" s="2688"/>
      <c r="BE141" s="2688"/>
      <c r="BF141" s="2688"/>
      <c r="BG141" s="2688"/>
      <c r="BH141" s="2688"/>
    </row>
    <row r="142" spans="1:60" s="2692" customFormat="1" ht="56.25" customHeight="1" x14ac:dyDescent="0.25">
      <c r="A142" s="2741">
        <v>9</v>
      </c>
      <c r="B142" s="3041" t="s">
        <v>2327</v>
      </c>
      <c r="C142" s="2761"/>
      <c r="D142" s="2737"/>
      <c r="E142" s="2737"/>
      <c r="F142" s="2737"/>
      <c r="G142" s="2737"/>
      <c r="H142" s="2737"/>
      <c r="I142" s="2737"/>
      <c r="J142" s="2737"/>
      <c r="K142" s="2737"/>
      <c r="L142" s="2736">
        <f t="shared" si="288"/>
        <v>223400</v>
      </c>
      <c r="M142" s="2736">
        <f t="shared" si="284"/>
        <v>223400</v>
      </c>
      <c r="N142" s="2737"/>
      <c r="O142" s="2736">
        <v>223400</v>
      </c>
      <c r="P142" s="2736"/>
      <c r="Q142" s="2736"/>
      <c r="R142" s="2736"/>
      <c r="S142" s="2736">
        <f t="shared" si="285"/>
        <v>147360</v>
      </c>
      <c r="T142" s="2736"/>
      <c r="U142" s="2736"/>
      <c r="V142" s="2736"/>
      <c r="W142" s="2736"/>
      <c r="X142" s="2736"/>
      <c r="Y142" s="2736"/>
      <c r="Z142" s="2736"/>
      <c r="AA142" s="2736"/>
      <c r="AB142" s="2736"/>
      <c r="AC142" s="2736">
        <v>147360</v>
      </c>
      <c r="AD142" s="2737">
        <f t="shared" si="286"/>
        <v>0</v>
      </c>
      <c r="AE142" s="2736"/>
      <c r="AF142" s="2736"/>
      <c r="AG142" s="2737">
        <f t="shared" si="287"/>
        <v>76040</v>
      </c>
      <c r="AH142" s="2737"/>
      <c r="AI142" s="2737"/>
      <c r="AJ142" s="2737"/>
      <c r="AK142" s="2737"/>
      <c r="AL142" s="2737"/>
      <c r="AM142" s="2737"/>
      <c r="AN142" s="2737"/>
      <c r="AO142" s="2737"/>
      <c r="AP142" s="2736"/>
      <c r="AQ142" s="2736">
        <f>L142-AC142</f>
        <v>76040</v>
      </c>
      <c r="AR142" s="2736"/>
      <c r="AS142" s="2682"/>
      <c r="AT142" s="2691"/>
      <c r="AU142" s="2691"/>
      <c r="AV142" s="2691"/>
      <c r="AW142" s="2691"/>
      <c r="AX142" s="2691"/>
      <c r="AY142" s="2691"/>
      <c r="AZ142" s="2691"/>
      <c r="BA142" s="2691"/>
      <c r="BB142" s="2691"/>
      <c r="BC142" s="2691"/>
      <c r="BD142" s="2691"/>
      <c r="BE142" s="2691"/>
      <c r="BF142" s="2691"/>
      <c r="BG142" s="2691"/>
      <c r="BH142" s="2691"/>
    </row>
    <row r="143" spans="1:60" s="2692" customFormat="1" ht="33.75" customHeight="1" x14ac:dyDescent="0.25">
      <c r="A143" s="2741">
        <v>10</v>
      </c>
      <c r="B143" s="3041" t="s">
        <v>2328</v>
      </c>
      <c r="C143" s="2761"/>
      <c r="D143" s="2737"/>
      <c r="E143" s="2737"/>
      <c r="F143" s="2737"/>
      <c r="G143" s="2737"/>
      <c r="H143" s="2737"/>
      <c r="I143" s="2737"/>
      <c r="J143" s="2737"/>
      <c r="K143" s="2737"/>
      <c r="L143" s="2736">
        <f t="shared" si="288"/>
        <v>228128</v>
      </c>
      <c r="M143" s="2736">
        <f t="shared" si="284"/>
        <v>228128</v>
      </c>
      <c r="N143" s="2737"/>
      <c r="O143" s="2736">
        <v>228128</v>
      </c>
      <c r="P143" s="2736"/>
      <c r="Q143" s="2736"/>
      <c r="R143" s="2736"/>
      <c r="S143" s="2736">
        <f t="shared" si="285"/>
        <v>59904</v>
      </c>
      <c r="T143" s="2736"/>
      <c r="U143" s="2736"/>
      <c r="V143" s="2736"/>
      <c r="W143" s="2736"/>
      <c r="X143" s="2736"/>
      <c r="Y143" s="2736"/>
      <c r="Z143" s="2736"/>
      <c r="AA143" s="2736"/>
      <c r="AB143" s="2736"/>
      <c r="AC143" s="2736">
        <v>59904</v>
      </c>
      <c r="AD143" s="2737">
        <f t="shared" si="286"/>
        <v>0</v>
      </c>
      <c r="AE143" s="2736"/>
      <c r="AF143" s="2736"/>
      <c r="AG143" s="2737">
        <f t="shared" si="287"/>
        <v>168224</v>
      </c>
      <c r="AH143" s="2737"/>
      <c r="AI143" s="2737"/>
      <c r="AJ143" s="2737"/>
      <c r="AK143" s="2737"/>
      <c r="AL143" s="2737"/>
      <c r="AM143" s="2737"/>
      <c r="AN143" s="2737"/>
      <c r="AO143" s="2737"/>
      <c r="AP143" s="2736"/>
      <c r="AQ143" s="2736">
        <f>L143-AC143</f>
        <v>168224</v>
      </c>
      <c r="AR143" s="2736"/>
      <c r="AS143" s="2682"/>
      <c r="AT143" s="2691"/>
      <c r="AU143" s="2691"/>
      <c r="AV143" s="2691"/>
      <c r="AW143" s="2691"/>
      <c r="AX143" s="2691"/>
      <c r="AY143" s="2691"/>
      <c r="AZ143" s="2691"/>
      <c r="BA143" s="2691"/>
      <c r="BB143" s="2691"/>
      <c r="BC143" s="2691"/>
      <c r="BD143" s="2691"/>
      <c r="BE143" s="2691"/>
      <c r="BF143" s="2691"/>
      <c r="BG143" s="2691"/>
      <c r="BH143" s="2691"/>
    </row>
    <row r="144" spans="1:60" s="2692" customFormat="1" ht="62.25" customHeight="1" x14ac:dyDescent="0.25">
      <c r="A144" s="2741">
        <v>11</v>
      </c>
      <c r="B144" s="3041" t="s">
        <v>2329</v>
      </c>
      <c r="C144" s="2761"/>
      <c r="D144" s="2737"/>
      <c r="E144" s="2737"/>
      <c r="F144" s="2737"/>
      <c r="G144" s="2737"/>
      <c r="H144" s="2737"/>
      <c r="I144" s="2737"/>
      <c r="J144" s="2737"/>
      <c r="K144" s="2737"/>
      <c r="L144" s="2736">
        <f t="shared" si="288"/>
        <v>845000</v>
      </c>
      <c r="M144" s="2736"/>
      <c r="N144" s="2737"/>
      <c r="O144" s="2736"/>
      <c r="P144" s="2764">
        <f>Q144+R144</f>
        <v>845000</v>
      </c>
      <c r="Q144" s="2736"/>
      <c r="R144" s="2736">
        <v>845000</v>
      </c>
      <c r="S144" s="2736">
        <f t="shared" si="285"/>
        <v>845000</v>
      </c>
      <c r="T144" s="2736"/>
      <c r="U144" s="2736"/>
      <c r="V144" s="2736"/>
      <c r="W144" s="2736"/>
      <c r="X144" s="2736"/>
      <c r="Y144" s="2736"/>
      <c r="Z144" s="2736"/>
      <c r="AA144" s="2736"/>
      <c r="AB144" s="2736"/>
      <c r="AC144" s="2736">
        <v>845000</v>
      </c>
      <c r="AD144" s="2737">
        <f t="shared" si="286"/>
        <v>0</v>
      </c>
      <c r="AE144" s="2736"/>
      <c r="AF144" s="2736"/>
      <c r="AG144" s="2737">
        <f t="shared" si="287"/>
        <v>0</v>
      </c>
      <c r="AH144" s="2737"/>
      <c r="AI144" s="2737"/>
      <c r="AJ144" s="2737"/>
      <c r="AK144" s="2737"/>
      <c r="AL144" s="2737"/>
      <c r="AM144" s="2737"/>
      <c r="AN144" s="2737"/>
      <c r="AO144" s="2737"/>
      <c r="AP144" s="2736"/>
      <c r="AQ144" s="2736"/>
      <c r="AR144" s="2736"/>
      <c r="AS144" s="2682"/>
      <c r="AT144" s="2691"/>
      <c r="AU144" s="2691"/>
      <c r="AV144" s="2691"/>
      <c r="AW144" s="2691"/>
      <c r="AX144" s="2691"/>
      <c r="AY144" s="2691"/>
      <c r="AZ144" s="2691"/>
      <c r="BA144" s="2691"/>
      <c r="BB144" s="2691"/>
      <c r="BC144" s="2691"/>
      <c r="BD144" s="2691"/>
      <c r="BE144" s="2691"/>
      <c r="BF144" s="2691"/>
      <c r="BG144" s="2691"/>
      <c r="BH144" s="2691"/>
    </row>
    <row r="145" spans="1:60" s="2692" customFormat="1" ht="62.25" customHeight="1" x14ac:dyDescent="0.25">
      <c r="A145" s="2741">
        <v>12</v>
      </c>
      <c r="B145" s="3041" t="s">
        <v>2336</v>
      </c>
      <c r="C145" s="2761"/>
      <c r="D145" s="2737"/>
      <c r="E145" s="2737"/>
      <c r="F145" s="2737"/>
      <c r="G145" s="2737"/>
      <c r="H145" s="2737"/>
      <c r="I145" s="2737"/>
      <c r="J145" s="2737"/>
      <c r="K145" s="2737"/>
      <c r="L145" s="2736">
        <f t="shared" si="288"/>
        <v>176904</v>
      </c>
      <c r="M145" s="2736">
        <f t="shared" ref="M145" si="289">N145+O145</f>
        <v>176904</v>
      </c>
      <c r="N145" s="2737"/>
      <c r="O145" s="2736">
        <v>176904</v>
      </c>
      <c r="P145" s="2764"/>
      <c r="Q145" s="2736"/>
      <c r="R145" s="2736"/>
      <c r="S145" s="2736">
        <f t="shared" si="285"/>
        <v>95472</v>
      </c>
      <c r="T145" s="2736"/>
      <c r="U145" s="2736"/>
      <c r="V145" s="2736"/>
      <c r="W145" s="2736"/>
      <c r="X145" s="2736"/>
      <c r="Y145" s="2736"/>
      <c r="Z145" s="2736"/>
      <c r="AA145" s="2736"/>
      <c r="AB145" s="2736"/>
      <c r="AC145" s="2736">
        <v>95472</v>
      </c>
      <c r="AD145" s="2737"/>
      <c r="AE145" s="2736"/>
      <c r="AF145" s="2736"/>
      <c r="AG145" s="2737">
        <f t="shared" si="287"/>
        <v>65171</v>
      </c>
      <c r="AH145" s="2737"/>
      <c r="AI145" s="2737"/>
      <c r="AJ145" s="2737"/>
      <c r="AK145" s="2737"/>
      <c r="AL145" s="2737"/>
      <c r="AM145" s="2737"/>
      <c r="AN145" s="2737"/>
      <c r="AO145" s="2737"/>
      <c r="AP145" s="2736"/>
      <c r="AQ145" s="2736">
        <v>65171</v>
      </c>
      <c r="AR145" s="2736">
        <f>L145-S145-AQ145</f>
        <v>16261</v>
      </c>
      <c r="AS145" s="2682"/>
      <c r="AT145" s="2691"/>
      <c r="AU145" s="2691"/>
      <c r="AV145" s="2691"/>
      <c r="AW145" s="2691"/>
      <c r="AX145" s="2691"/>
      <c r="AY145" s="2691"/>
      <c r="AZ145" s="2691"/>
      <c r="BA145" s="2691"/>
      <c r="BB145" s="2691"/>
      <c r="BC145" s="2691"/>
      <c r="BD145" s="2691"/>
      <c r="BE145" s="2691"/>
      <c r="BF145" s="2691"/>
      <c r="BG145" s="2691"/>
      <c r="BH145" s="2691"/>
    </row>
    <row r="146" spans="1:60" s="2692" customFormat="1" ht="62.25" customHeight="1" x14ac:dyDescent="0.25">
      <c r="A146" s="2741">
        <v>13</v>
      </c>
      <c r="B146" s="3041" t="s">
        <v>2330</v>
      </c>
      <c r="C146" s="2761"/>
      <c r="D146" s="2737"/>
      <c r="E146" s="2737"/>
      <c r="F146" s="2737"/>
      <c r="G146" s="2737"/>
      <c r="H146" s="2737"/>
      <c r="I146" s="2737"/>
      <c r="J146" s="2737"/>
      <c r="K146" s="2737"/>
      <c r="L146" s="2736">
        <f t="shared" si="288"/>
        <v>9049598.9600000009</v>
      </c>
      <c r="M146" s="2736">
        <f t="shared" ref="M146:M148" si="290">N146+O146</f>
        <v>3580331.0000000009</v>
      </c>
      <c r="N146" s="2737"/>
      <c r="O146" s="2736">
        <f>9049598.96-5469267.96</f>
        <v>3580331.0000000009</v>
      </c>
      <c r="P146" s="2764">
        <f>Q146+R146</f>
        <v>5469267.96</v>
      </c>
      <c r="Q146" s="2736"/>
      <c r="R146" s="3042">
        <f>5411000+58267.96</f>
        <v>5469267.96</v>
      </c>
      <c r="S146" s="2736">
        <f t="shared" si="285"/>
        <v>8849364</v>
      </c>
      <c r="T146" s="2736"/>
      <c r="U146" s="2736"/>
      <c r="V146" s="2736"/>
      <c r="W146" s="2736"/>
      <c r="X146" s="2736"/>
      <c r="Y146" s="2736"/>
      <c r="Z146" s="2736"/>
      <c r="AA146" s="2736"/>
      <c r="AB146" s="2736"/>
      <c r="AC146" s="2736">
        <v>8849364</v>
      </c>
      <c r="AD146" s="2736">
        <f t="shared" si="286"/>
        <v>132456.95999999999</v>
      </c>
      <c r="AE146" s="2736"/>
      <c r="AF146" s="3042">
        <v>132456.95999999999</v>
      </c>
      <c r="AG146" s="2737">
        <f t="shared" si="287"/>
        <v>67778.000000000902</v>
      </c>
      <c r="AH146" s="2737"/>
      <c r="AI146" s="2737"/>
      <c r="AJ146" s="2737"/>
      <c r="AK146" s="2737"/>
      <c r="AL146" s="2737"/>
      <c r="AM146" s="2737"/>
      <c r="AN146" s="2737"/>
      <c r="AO146" s="2737"/>
      <c r="AP146" s="2736"/>
      <c r="AQ146" s="2736">
        <f>L146-AC146-AF146</f>
        <v>67778.000000000902</v>
      </c>
      <c r="AR146" s="2736"/>
      <c r="AS146" s="2682"/>
      <c r="AT146" s="2691"/>
      <c r="AU146" s="2691"/>
      <c r="AV146" s="2691"/>
      <c r="AW146" s="2691"/>
      <c r="AX146" s="2691"/>
      <c r="AY146" s="2691"/>
      <c r="AZ146" s="2691"/>
      <c r="BA146" s="2691"/>
      <c r="BB146" s="2691"/>
      <c r="BC146" s="2691"/>
      <c r="BD146" s="2691"/>
      <c r="BE146" s="2691"/>
      <c r="BF146" s="2691"/>
      <c r="BG146" s="2691"/>
      <c r="BH146" s="2691"/>
    </row>
    <row r="147" spans="1:60" s="2692" customFormat="1" ht="32.25" customHeight="1" x14ac:dyDescent="0.25">
      <c r="A147" s="2741">
        <v>14</v>
      </c>
      <c r="B147" s="3043" t="s">
        <v>2333</v>
      </c>
      <c r="C147" s="2761"/>
      <c r="D147" s="2737"/>
      <c r="E147" s="2737"/>
      <c r="F147" s="2737"/>
      <c r="G147" s="2737"/>
      <c r="H147" s="2737"/>
      <c r="I147" s="2737"/>
      <c r="J147" s="2737"/>
      <c r="K147" s="2737"/>
      <c r="L147" s="2736">
        <f t="shared" ref="L147:L148" si="291">M147+P147</f>
        <v>708987.4</v>
      </c>
      <c r="M147" s="2736">
        <f t="shared" si="290"/>
        <v>708987.4</v>
      </c>
      <c r="N147" s="2737"/>
      <c r="O147" s="2736">
        <v>708987.4</v>
      </c>
      <c r="P147" s="2764"/>
      <c r="Q147" s="2736"/>
      <c r="R147" s="3042"/>
      <c r="S147" s="2736">
        <f t="shared" si="285"/>
        <v>699774.2</v>
      </c>
      <c r="T147" s="2736"/>
      <c r="U147" s="2736"/>
      <c r="V147" s="2736"/>
      <c r="W147" s="2736"/>
      <c r="X147" s="2736"/>
      <c r="Y147" s="2736"/>
      <c r="Z147" s="2736"/>
      <c r="AA147" s="2736"/>
      <c r="AB147" s="2736"/>
      <c r="AC147" s="2736">
        <v>699774.2</v>
      </c>
      <c r="AD147" s="2736"/>
      <c r="AE147" s="2736"/>
      <c r="AF147" s="3042"/>
      <c r="AG147" s="2737"/>
      <c r="AH147" s="2737"/>
      <c r="AI147" s="2737"/>
      <c r="AJ147" s="2737"/>
      <c r="AK147" s="2737"/>
      <c r="AL147" s="2737"/>
      <c r="AM147" s="2737"/>
      <c r="AN147" s="2737"/>
      <c r="AO147" s="2737"/>
      <c r="AP147" s="2736"/>
      <c r="AQ147" s="2736"/>
      <c r="AR147" s="2736">
        <f>M147-S147</f>
        <v>9213.2000000000698</v>
      </c>
      <c r="AS147" s="2682"/>
      <c r="AT147" s="2691"/>
      <c r="AU147" s="2691"/>
      <c r="AV147" s="2691"/>
      <c r="AW147" s="2691"/>
      <c r="AX147" s="2691"/>
      <c r="AY147" s="2691"/>
      <c r="AZ147" s="2691"/>
      <c r="BA147" s="2691"/>
      <c r="BB147" s="2691"/>
      <c r="BC147" s="2691"/>
      <c r="BD147" s="2691"/>
      <c r="BE147" s="2691"/>
      <c r="BF147" s="2691"/>
      <c r="BG147" s="2691"/>
      <c r="BH147" s="2691"/>
    </row>
    <row r="148" spans="1:60" s="2692" customFormat="1" ht="99.75" customHeight="1" x14ac:dyDescent="0.25">
      <c r="A148" s="2741">
        <v>15</v>
      </c>
      <c r="B148" s="3043" t="s">
        <v>2334</v>
      </c>
      <c r="C148" s="2761"/>
      <c r="D148" s="2737"/>
      <c r="E148" s="2737"/>
      <c r="F148" s="2737"/>
      <c r="G148" s="2737"/>
      <c r="H148" s="2737"/>
      <c r="I148" s="2737"/>
      <c r="J148" s="2737"/>
      <c r="K148" s="2737"/>
      <c r="L148" s="2736">
        <f t="shared" si="291"/>
        <v>691000</v>
      </c>
      <c r="M148" s="2736">
        <f t="shared" si="290"/>
        <v>691000</v>
      </c>
      <c r="N148" s="2737"/>
      <c r="O148" s="2736">
        <v>691000</v>
      </c>
      <c r="P148" s="2764"/>
      <c r="Q148" s="2736"/>
      <c r="R148" s="3042"/>
      <c r="S148" s="2736">
        <f t="shared" si="285"/>
        <v>574516.80000000005</v>
      </c>
      <c r="T148" s="2736"/>
      <c r="U148" s="2736"/>
      <c r="V148" s="2736"/>
      <c r="W148" s="2736"/>
      <c r="X148" s="2736"/>
      <c r="Y148" s="2736"/>
      <c r="Z148" s="2736"/>
      <c r="AA148" s="2736"/>
      <c r="AB148" s="2736"/>
      <c r="AC148" s="2736">
        <v>574516.80000000005</v>
      </c>
      <c r="AD148" s="2736"/>
      <c r="AE148" s="2736"/>
      <c r="AF148" s="3042"/>
      <c r="AG148" s="2737"/>
      <c r="AH148" s="2737"/>
      <c r="AI148" s="2737"/>
      <c r="AJ148" s="2737"/>
      <c r="AK148" s="2737"/>
      <c r="AL148" s="2737"/>
      <c r="AM148" s="2737"/>
      <c r="AN148" s="2737"/>
      <c r="AO148" s="2737"/>
      <c r="AP148" s="2736"/>
      <c r="AQ148" s="2736"/>
      <c r="AR148" s="2736">
        <f>M148-S148</f>
        <v>116483.19999999995</v>
      </c>
      <c r="AS148" s="2682"/>
      <c r="AT148" s="2691"/>
      <c r="AU148" s="2691"/>
      <c r="AV148" s="2691"/>
      <c r="AW148" s="2691"/>
      <c r="AX148" s="2691"/>
      <c r="AY148" s="2691"/>
      <c r="AZ148" s="2691"/>
      <c r="BA148" s="2691"/>
      <c r="BB148" s="2691"/>
      <c r="BC148" s="2691"/>
      <c r="BD148" s="2691"/>
      <c r="BE148" s="2691"/>
      <c r="BF148" s="2691"/>
      <c r="BG148" s="2691"/>
      <c r="BH148" s="2691"/>
    </row>
    <row r="149" spans="1:60" s="2692" customFormat="1" ht="62.25" customHeight="1" x14ac:dyDescent="0.25">
      <c r="A149" s="2741">
        <v>16</v>
      </c>
      <c r="B149" s="3041" t="s">
        <v>2331</v>
      </c>
      <c r="C149" s="2761"/>
      <c r="D149" s="2737"/>
      <c r="E149" s="2737"/>
      <c r="F149" s="2737"/>
      <c r="G149" s="2737"/>
      <c r="H149" s="2737"/>
      <c r="I149" s="2737"/>
      <c r="J149" s="2737"/>
      <c r="K149" s="2737"/>
      <c r="L149" s="2736">
        <f t="shared" ref="L149:L154" si="292">M149+P149</f>
        <v>1416737.04</v>
      </c>
      <c r="M149" s="2736">
        <f t="shared" ref="M149" si="293">N149+O149</f>
        <v>1082820.04</v>
      </c>
      <c r="N149" s="2737"/>
      <c r="O149" s="2736">
        <f>1416737-333917+0.04</f>
        <v>1082820.04</v>
      </c>
      <c r="P149" s="2764">
        <f>Q149+R149</f>
        <v>333917</v>
      </c>
      <c r="Q149" s="2736"/>
      <c r="R149" s="2736">
        <v>333917</v>
      </c>
      <c r="S149" s="2736">
        <f t="shared" si="285"/>
        <v>1405149.277</v>
      </c>
      <c r="T149" s="2736"/>
      <c r="U149" s="2736"/>
      <c r="V149" s="2736"/>
      <c r="W149" s="2736"/>
      <c r="X149" s="2736"/>
      <c r="Y149" s="2736"/>
      <c r="Z149" s="2736"/>
      <c r="AA149" s="2736"/>
      <c r="AB149" s="2736"/>
      <c r="AC149" s="2736">
        <v>1405149.277</v>
      </c>
      <c r="AD149" s="2737">
        <f t="shared" si="286"/>
        <v>0</v>
      </c>
      <c r="AE149" s="2736"/>
      <c r="AF149" s="2736"/>
      <c r="AG149" s="2737">
        <f t="shared" si="287"/>
        <v>11586.4</v>
      </c>
      <c r="AH149" s="2737"/>
      <c r="AI149" s="2737"/>
      <c r="AJ149" s="2737"/>
      <c r="AK149" s="2737"/>
      <c r="AL149" s="2737"/>
      <c r="AM149" s="2737"/>
      <c r="AN149" s="2737"/>
      <c r="AO149" s="2737"/>
      <c r="AP149" s="2736"/>
      <c r="AQ149" s="3048">
        <v>11586.4</v>
      </c>
      <c r="AR149" s="3044"/>
      <c r="AS149" s="2682"/>
      <c r="AT149" s="2691"/>
      <c r="AU149" s="2691"/>
      <c r="AV149" s="2691"/>
      <c r="AW149" s="2691"/>
      <c r="AX149" s="2691"/>
      <c r="AY149" s="2691"/>
      <c r="AZ149" s="2691"/>
      <c r="BA149" s="2691"/>
      <c r="BB149" s="2691"/>
      <c r="BC149" s="2691"/>
      <c r="BD149" s="2691"/>
      <c r="BE149" s="2691"/>
      <c r="BF149" s="2691"/>
      <c r="BG149" s="2691"/>
      <c r="BH149" s="2691"/>
    </row>
    <row r="150" spans="1:60" s="2692" customFormat="1" ht="62.25" customHeight="1" x14ac:dyDescent="0.25">
      <c r="A150" s="2741">
        <v>17</v>
      </c>
      <c r="B150" s="2269" t="s">
        <v>2158</v>
      </c>
      <c r="C150" s="2761"/>
      <c r="D150" s="2737"/>
      <c r="E150" s="2737"/>
      <c r="F150" s="2737"/>
      <c r="G150" s="2737"/>
      <c r="H150" s="2737"/>
      <c r="I150" s="2737"/>
      <c r="J150" s="2737"/>
      <c r="K150" s="2737"/>
      <c r="L150" s="2736">
        <f t="shared" si="292"/>
        <v>211334</v>
      </c>
      <c r="M150" s="2736">
        <f t="shared" ref="M150" si="294">N150+O150</f>
        <v>211334</v>
      </c>
      <c r="N150" s="2737"/>
      <c r="O150" s="2736">
        <v>211334</v>
      </c>
      <c r="P150" s="2736"/>
      <c r="Q150" s="2736"/>
      <c r="R150" s="2736"/>
      <c r="S150" s="2736">
        <f t="shared" si="285"/>
        <v>69417.271999999997</v>
      </c>
      <c r="T150" s="2736"/>
      <c r="U150" s="2736"/>
      <c r="V150" s="2736"/>
      <c r="W150" s="2736"/>
      <c r="X150" s="2736"/>
      <c r="Y150" s="2736"/>
      <c r="Z150" s="2736"/>
      <c r="AA150" s="2736"/>
      <c r="AB150" s="2736"/>
      <c r="AC150" s="2736">
        <v>69417.271999999997</v>
      </c>
      <c r="AD150" s="2737">
        <f t="shared" si="286"/>
        <v>0</v>
      </c>
      <c r="AE150" s="2736"/>
      <c r="AF150" s="2736"/>
      <c r="AG150" s="2737">
        <f t="shared" si="287"/>
        <v>141916.728</v>
      </c>
      <c r="AH150" s="2737"/>
      <c r="AI150" s="2737"/>
      <c r="AJ150" s="2737"/>
      <c r="AK150" s="2737"/>
      <c r="AL150" s="2737"/>
      <c r="AM150" s="2737"/>
      <c r="AN150" s="2737"/>
      <c r="AO150" s="2737"/>
      <c r="AP150" s="2736"/>
      <c r="AQ150" s="2736">
        <f>L150-AC150</f>
        <v>141916.728</v>
      </c>
      <c r="AR150" s="2736"/>
      <c r="AS150" s="2682"/>
      <c r="AT150" s="2691"/>
      <c r="AU150" s="2691"/>
      <c r="AV150" s="2691"/>
      <c r="AW150" s="2691"/>
      <c r="AX150" s="2691"/>
      <c r="AY150" s="2691"/>
      <c r="AZ150" s="2691"/>
      <c r="BA150" s="2691"/>
      <c r="BB150" s="2691"/>
      <c r="BC150" s="2691"/>
      <c r="BD150" s="2691"/>
      <c r="BE150" s="2691"/>
      <c r="BF150" s="2691"/>
      <c r="BG150" s="2691"/>
      <c r="BH150" s="2691"/>
    </row>
    <row r="151" spans="1:60" s="2692" customFormat="1" ht="74.25" customHeight="1" x14ac:dyDescent="0.25">
      <c r="A151" s="2741">
        <v>18</v>
      </c>
      <c r="B151" s="2690" t="s">
        <v>2167</v>
      </c>
      <c r="C151" s="2761"/>
      <c r="D151" s="2737"/>
      <c r="E151" s="2737"/>
      <c r="F151" s="2737"/>
      <c r="G151" s="2737"/>
      <c r="H151" s="2737"/>
      <c r="I151" s="2737"/>
      <c r="J151" s="2737"/>
      <c r="K151" s="2737"/>
      <c r="L151" s="2736">
        <f t="shared" si="292"/>
        <v>72000</v>
      </c>
      <c r="M151" s="2736"/>
      <c r="N151" s="2736"/>
      <c r="O151" s="2736"/>
      <c r="P151" s="2764">
        <f>Q151+R151</f>
        <v>72000</v>
      </c>
      <c r="Q151" s="2764"/>
      <c r="R151" s="2747">
        <v>72000</v>
      </c>
      <c r="S151" s="2736">
        <f t="shared" si="285"/>
        <v>67076.289999999994</v>
      </c>
      <c r="T151" s="2764"/>
      <c r="U151" s="2764"/>
      <c r="V151" s="2764"/>
      <c r="W151" s="2764"/>
      <c r="X151" s="2764"/>
      <c r="Y151" s="2764"/>
      <c r="Z151" s="2736"/>
      <c r="AA151" s="2736"/>
      <c r="AB151" s="2736"/>
      <c r="AC151" s="2736">
        <v>67076.289999999994</v>
      </c>
      <c r="AD151" s="2736">
        <f t="shared" si="286"/>
        <v>4923.7100000000064</v>
      </c>
      <c r="AE151" s="2736"/>
      <c r="AF151" s="2736">
        <f>L151-AC151</f>
        <v>4923.7100000000064</v>
      </c>
      <c r="AG151" s="2737">
        <f t="shared" si="287"/>
        <v>0</v>
      </c>
      <c r="AH151" s="2737"/>
      <c r="AI151" s="2737"/>
      <c r="AJ151" s="2737"/>
      <c r="AK151" s="2737"/>
      <c r="AL151" s="2737"/>
      <c r="AM151" s="2737"/>
      <c r="AN151" s="2737"/>
      <c r="AO151" s="2737"/>
      <c r="AP151" s="2736"/>
      <c r="AQ151" s="2736"/>
      <c r="AR151" s="2736"/>
      <c r="AS151" s="2682"/>
      <c r="AT151" s="2691"/>
      <c r="AU151" s="2691"/>
      <c r="AV151" s="2691"/>
      <c r="AW151" s="2691"/>
      <c r="AX151" s="2691"/>
      <c r="AY151" s="2691"/>
      <c r="AZ151" s="2691"/>
      <c r="BA151" s="2691"/>
      <c r="BB151" s="2691"/>
      <c r="BC151" s="2691"/>
      <c r="BD151" s="2691"/>
      <c r="BE151" s="2691"/>
      <c r="BF151" s="2691"/>
      <c r="BG151" s="2691"/>
      <c r="BH151" s="2691"/>
    </row>
    <row r="152" spans="1:60" s="2692" customFormat="1" ht="60.75" customHeight="1" x14ac:dyDescent="0.25">
      <c r="A152" s="2741">
        <v>19</v>
      </c>
      <c r="B152" s="2690" t="s">
        <v>2168</v>
      </c>
      <c r="C152" s="2761"/>
      <c r="D152" s="2737"/>
      <c r="E152" s="2737"/>
      <c r="F152" s="2737"/>
      <c r="G152" s="2737"/>
      <c r="H152" s="2737"/>
      <c r="I152" s="2737"/>
      <c r="J152" s="2737"/>
      <c r="K152" s="2737"/>
      <c r="L152" s="2736">
        <f t="shared" si="292"/>
        <v>295200</v>
      </c>
      <c r="M152" s="2736"/>
      <c r="N152" s="2736"/>
      <c r="O152" s="2736"/>
      <c r="P152" s="2764">
        <f>Q152+R152</f>
        <v>295200</v>
      </c>
      <c r="Q152" s="2764"/>
      <c r="R152" s="2747">
        <v>295200</v>
      </c>
      <c r="S152" s="2736">
        <f t="shared" si="285"/>
        <v>295000</v>
      </c>
      <c r="T152" s="2764"/>
      <c r="U152" s="2764"/>
      <c r="V152" s="2764"/>
      <c r="W152" s="2764"/>
      <c r="X152" s="2764"/>
      <c r="Y152" s="2764"/>
      <c r="Z152" s="2736"/>
      <c r="AA152" s="2736"/>
      <c r="AB152" s="2736"/>
      <c r="AC152" s="2736">
        <v>295000</v>
      </c>
      <c r="AD152" s="2737">
        <f t="shared" si="286"/>
        <v>0</v>
      </c>
      <c r="AE152" s="2736"/>
      <c r="AF152" s="2736"/>
      <c r="AG152" s="2737">
        <f t="shared" si="287"/>
        <v>0</v>
      </c>
      <c r="AH152" s="2737"/>
      <c r="AI152" s="2737"/>
      <c r="AJ152" s="2737"/>
      <c r="AK152" s="2737"/>
      <c r="AL152" s="2737"/>
      <c r="AM152" s="2737"/>
      <c r="AN152" s="2737"/>
      <c r="AO152" s="2737"/>
      <c r="AP152" s="2736"/>
      <c r="AQ152" s="2736"/>
      <c r="AR152" s="2736"/>
      <c r="AS152" s="2682"/>
      <c r="AT152" s="2691"/>
      <c r="AU152" s="2691"/>
      <c r="AV152" s="2691"/>
      <c r="AW152" s="2691"/>
      <c r="AX152" s="2691"/>
      <c r="AY152" s="2691"/>
      <c r="AZ152" s="2691"/>
      <c r="BA152" s="2691"/>
      <c r="BB152" s="2691"/>
      <c r="BC152" s="2691"/>
      <c r="BD152" s="2691"/>
      <c r="BE152" s="2691"/>
      <c r="BF152" s="2691"/>
      <c r="BG152" s="2691"/>
      <c r="BH152" s="2691"/>
    </row>
    <row r="153" spans="1:60" s="2692" customFormat="1" ht="30.75" customHeight="1" x14ac:dyDescent="0.25">
      <c r="A153" s="2741">
        <v>20</v>
      </c>
      <c r="B153" s="2690" t="s">
        <v>2170</v>
      </c>
      <c r="C153" s="2761"/>
      <c r="D153" s="2737"/>
      <c r="E153" s="2737"/>
      <c r="F153" s="2737"/>
      <c r="G153" s="2737"/>
      <c r="H153" s="2737"/>
      <c r="I153" s="2737"/>
      <c r="J153" s="2737"/>
      <c r="K153" s="2737"/>
      <c r="L153" s="2736">
        <f t="shared" si="292"/>
        <v>272000</v>
      </c>
      <c r="M153" s="2736"/>
      <c r="N153" s="2736"/>
      <c r="O153" s="2736"/>
      <c r="P153" s="2764">
        <f>Q153+R153</f>
        <v>272000</v>
      </c>
      <c r="Q153" s="2764"/>
      <c r="R153" s="2747">
        <v>272000</v>
      </c>
      <c r="S153" s="2736">
        <f t="shared" si="285"/>
        <v>272000</v>
      </c>
      <c r="T153" s="2764"/>
      <c r="U153" s="2764"/>
      <c r="V153" s="2764"/>
      <c r="W153" s="2764"/>
      <c r="X153" s="2764"/>
      <c r="Y153" s="2764"/>
      <c r="Z153" s="2736"/>
      <c r="AA153" s="2736"/>
      <c r="AB153" s="2736"/>
      <c r="AC153" s="2736">
        <v>272000</v>
      </c>
      <c r="AD153" s="2737">
        <f t="shared" si="286"/>
        <v>0</v>
      </c>
      <c r="AE153" s="2736"/>
      <c r="AF153" s="2736"/>
      <c r="AG153" s="2737">
        <f t="shared" si="287"/>
        <v>0</v>
      </c>
      <c r="AH153" s="2737"/>
      <c r="AI153" s="2737"/>
      <c r="AJ153" s="2737"/>
      <c r="AK153" s="2737"/>
      <c r="AL153" s="2737"/>
      <c r="AM153" s="2737"/>
      <c r="AN153" s="2737"/>
      <c r="AO153" s="2737"/>
      <c r="AP153" s="2736"/>
      <c r="AQ153" s="2736"/>
      <c r="AR153" s="2736"/>
      <c r="AS153" s="2682"/>
      <c r="AT153" s="2691"/>
      <c r="AU153" s="2691"/>
      <c r="AV153" s="2691"/>
      <c r="AW153" s="2691"/>
      <c r="AX153" s="2691"/>
      <c r="AY153" s="2691"/>
      <c r="AZ153" s="2691"/>
      <c r="BA153" s="2691"/>
      <c r="BB153" s="2691"/>
      <c r="BC153" s="2691"/>
      <c r="BD153" s="2691"/>
      <c r="BE153" s="2691"/>
      <c r="BF153" s="2691"/>
      <c r="BG153" s="2691"/>
      <c r="BH153" s="2691"/>
    </row>
    <row r="154" spans="1:60" s="2692" customFormat="1" ht="32.25" customHeight="1" x14ac:dyDescent="0.25">
      <c r="A154" s="2741">
        <v>21</v>
      </c>
      <c r="B154" s="2690" t="s">
        <v>2171</v>
      </c>
      <c r="C154" s="2761"/>
      <c r="D154" s="2737"/>
      <c r="E154" s="2737"/>
      <c r="F154" s="2737"/>
      <c r="G154" s="2737"/>
      <c r="H154" s="2737"/>
      <c r="I154" s="2737"/>
      <c r="J154" s="2737"/>
      <c r="K154" s="2737"/>
      <c r="L154" s="2736">
        <f t="shared" si="292"/>
        <v>1682000</v>
      </c>
      <c r="M154" s="2736"/>
      <c r="N154" s="2736"/>
      <c r="O154" s="2736"/>
      <c r="P154" s="2764">
        <f>Q154+R154</f>
        <v>1682000</v>
      </c>
      <c r="Q154" s="2764"/>
      <c r="R154" s="2747">
        <v>1682000</v>
      </c>
      <c r="S154" s="2736">
        <f t="shared" si="285"/>
        <v>1682000</v>
      </c>
      <c r="T154" s="2764"/>
      <c r="U154" s="2764"/>
      <c r="V154" s="2764"/>
      <c r="W154" s="2764"/>
      <c r="X154" s="2764"/>
      <c r="Y154" s="2764"/>
      <c r="Z154" s="2736"/>
      <c r="AA154" s="2736"/>
      <c r="AB154" s="2736"/>
      <c r="AC154" s="2736">
        <v>1682000</v>
      </c>
      <c r="AD154" s="2737">
        <f t="shared" si="286"/>
        <v>0</v>
      </c>
      <c r="AE154" s="2736"/>
      <c r="AF154" s="2736"/>
      <c r="AG154" s="2737">
        <f t="shared" si="287"/>
        <v>0</v>
      </c>
      <c r="AH154" s="2737"/>
      <c r="AI154" s="2737"/>
      <c r="AJ154" s="2737"/>
      <c r="AK154" s="2737"/>
      <c r="AL154" s="2737"/>
      <c r="AM154" s="2737"/>
      <c r="AN154" s="2737"/>
      <c r="AO154" s="2737"/>
      <c r="AP154" s="2736"/>
      <c r="AQ154" s="2736"/>
      <c r="AR154" s="2736"/>
      <c r="AS154" s="2682"/>
      <c r="AT154" s="2691"/>
      <c r="AU154" s="2691"/>
      <c r="AV154" s="2691"/>
      <c r="AW154" s="2691"/>
      <c r="AX154" s="2691"/>
      <c r="AY154" s="2691"/>
      <c r="AZ154" s="2691"/>
      <c r="BA154" s="2691"/>
      <c r="BB154" s="2691"/>
      <c r="BC154" s="2691"/>
      <c r="BD154" s="2691"/>
      <c r="BE154" s="2691"/>
      <c r="BF154" s="2691"/>
      <c r="BG154" s="2691"/>
      <c r="BH154" s="2691"/>
    </row>
    <row r="155" spans="1:60" s="2692" customFormat="1" ht="101.25" customHeight="1" x14ac:dyDescent="0.25">
      <c r="A155" s="2741">
        <v>22</v>
      </c>
      <c r="B155" s="2690" t="s">
        <v>1413</v>
      </c>
      <c r="C155" s="2761"/>
      <c r="D155" s="2737"/>
      <c r="E155" s="2737"/>
      <c r="F155" s="2737"/>
      <c r="G155" s="2737"/>
      <c r="H155" s="2737"/>
      <c r="I155" s="2737"/>
      <c r="J155" s="2737"/>
      <c r="K155" s="2737"/>
      <c r="L155" s="2736">
        <f t="shared" ref="L155:L174" si="295">M155+P155</f>
        <v>14278361</v>
      </c>
      <c r="M155" s="2736"/>
      <c r="N155" s="2737"/>
      <c r="O155" s="2736"/>
      <c r="P155" s="2736">
        <f>Q155+R155</f>
        <v>14278361</v>
      </c>
      <c r="Q155" s="2736"/>
      <c r="R155" s="2747">
        <v>14278361</v>
      </c>
      <c r="S155" s="2736">
        <f t="shared" si="285"/>
        <v>14278361</v>
      </c>
      <c r="T155" s="2736"/>
      <c r="U155" s="2736"/>
      <c r="V155" s="2736"/>
      <c r="W155" s="2736"/>
      <c r="X155" s="2736"/>
      <c r="Y155" s="2736"/>
      <c r="Z155" s="2736"/>
      <c r="AA155" s="2736"/>
      <c r="AB155" s="2736"/>
      <c r="AC155" s="2736">
        <v>14278361</v>
      </c>
      <c r="AD155" s="2737">
        <f t="shared" si="286"/>
        <v>0</v>
      </c>
      <c r="AE155" s="2736"/>
      <c r="AF155" s="2736"/>
      <c r="AG155" s="2737">
        <f t="shared" si="287"/>
        <v>0</v>
      </c>
      <c r="AH155" s="2737"/>
      <c r="AI155" s="2737"/>
      <c r="AJ155" s="2737"/>
      <c r="AK155" s="2737"/>
      <c r="AL155" s="2737"/>
      <c r="AM155" s="2737"/>
      <c r="AN155" s="2737"/>
      <c r="AO155" s="2737"/>
      <c r="AP155" s="2736"/>
      <c r="AQ155" s="2736"/>
      <c r="AR155" s="2736"/>
      <c r="AS155" s="2682"/>
      <c r="AT155" s="2691"/>
      <c r="AU155" s="2691"/>
      <c r="AV155" s="2691"/>
      <c r="AW155" s="2691"/>
      <c r="AX155" s="2691"/>
      <c r="AY155" s="2691"/>
      <c r="AZ155" s="2691"/>
      <c r="BA155" s="2691"/>
      <c r="BB155" s="2691"/>
      <c r="BC155" s="2691"/>
      <c r="BD155" s="2691"/>
      <c r="BE155" s="2691"/>
      <c r="BF155" s="2691"/>
      <c r="BG155" s="2691"/>
      <c r="BH155" s="2691"/>
    </row>
    <row r="156" spans="1:60" s="2692" customFormat="1" ht="84" customHeight="1" x14ac:dyDescent="0.25">
      <c r="A156" s="2741">
        <v>23</v>
      </c>
      <c r="B156" s="2690" t="s">
        <v>1412</v>
      </c>
      <c r="C156" s="2761"/>
      <c r="D156" s="2737"/>
      <c r="E156" s="2737"/>
      <c r="F156" s="2737"/>
      <c r="G156" s="2737"/>
      <c r="H156" s="2737"/>
      <c r="I156" s="2737"/>
      <c r="J156" s="2737"/>
      <c r="K156" s="2737"/>
      <c r="L156" s="2736">
        <f t="shared" si="295"/>
        <v>1500000</v>
      </c>
      <c r="M156" s="2736"/>
      <c r="N156" s="2737"/>
      <c r="O156" s="2736"/>
      <c r="P156" s="2736">
        <f t="shared" ref="P156:P174" si="296">Q156+R156</f>
        <v>1500000</v>
      </c>
      <c r="Q156" s="2736"/>
      <c r="R156" s="2747">
        <v>1500000</v>
      </c>
      <c r="S156" s="2736">
        <f t="shared" si="285"/>
        <v>1500000</v>
      </c>
      <c r="T156" s="2736"/>
      <c r="U156" s="2736"/>
      <c r="V156" s="2736"/>
      <c r="W156" s="2736"/>
      <c r="X156" s="2736"/>
      <c r="Y156" s="2736"/>
      <c r="Z156" s="2736"/>
      <c r="AA156" s="2736"/>
      <c r="AB156" s="2736"/>
      <c r="AC156" s="2736">
        <v>1500000</v>
      </c>
      <c r="AD156" s="2737">
        <f t="shared" si="286"/>
        <v>0</v>
      </c>
      <c r="AE156" s="2736"/>
      <c r="AF156" s="2736"/>
      <c r="AG156" s="2737">
        <f t="shared" si="287"/>
        <v>0</v>
      </c>
      <c r="AH156" s="2737"/>
      <c r="AI156" s="2737"/>
      <c r="AJ156" s="2737"/>
      <c r="AK156" s="2737"/>
      <c r="AL156" s="2737"/>
      <c r="AM156" s="2737"/>
      <c r="AN156" s="2737"/>
      <c r="AO156" s="2737"/>
      <c r="AP156" s="2736"/>
      <c r="AQ156" s="2736"/>
      <c r="AR156" s="2736"/>
      <c r="AS156" s="2682"/>
      <c r="AT156" s="2691"/>
      <c r="AU156" s="2691"/>
      <c r="AV156" s="2691"/>
      <c r="AW156" s="2691"/>
      <c r="AX156" s="2691"/>
      <c r="AY156" s="2691"/>
      <c r="AZ156" s="2691"/>
      <c r="BA156" s="2691"/>
      <c r="BB156" s="2691"/>
      <c r="BC156" s="2691"/>
      <c r="BD156" s="2691"/>
      <c r="BE156" s="2691"/>
      <c r="BF156" s="2691"/>
      <c r="BG156" s="2691"/>
      <c r="BH156" s="2691"/>
    </row>
    <row r="157" spans="1:60" s="2692" customFormat="1" ht="78" customHeight="1" x14ac:dyDescent="0.25">
      <c r="A157" s="2741">
        <v>24</v>
      </c>
      <c r="B157" s="2690" t="s">
        <v>1411</v>
      </c>
      <c r="C157" s="2761"/>
      <c r="D157" s="2737"/>
      <c r="E157" s="2737"/>
      <c r="F157" s="2737"/>
      <c r="G157" s="2737"/>
      <c r="H157" s="2737"/>
      <c r="I157" s="2737"/>
      <c r="J157" s="2737"/>
      <c r="K157" s="2737"/>
      <c r="L157" s="2736">
        <f t="shared" si="295"/>
        <v>2299400</v>
      </c>
      <c r="M157" s="2736"/>
      <c r="N157" s="2737"/>
      <c r="O157" s="2736"/>
      <c r="P157" s="2736">
        <f t="shared" si="296"/>
        <v>2299400</v>
      </c>
      <c r="Q157" s="2736"/>
      <c r="R157" s="2747">
        <f>2269400+30000</f>
        <v>2299400</v>
      </c>
      <c r="S157" s="2736">
        <f t="shared" si="285"/>
        <v>2298700</v>
      </c>
      <c r="T157" s="2736"/>
      <c r="U157" s="2736"/>
      <c r="V157" s="2736"/>
      <c r="W157" s="2736"/>
      <c r="X157" s="2736"/>
      <c r="Y157" s="2736"/>
      <c r="Z157" s="2736"/>
      <c r="AA157" s="2736"/>
      <c r="AB157" s="2736"/>
      <c r="AC157" s="2736">
        <v>2298700</v>
      </c>
      <c r="AD157" s="2737">
        <f t="shared" si="286"/>
        <v>0</v>
      </c>
      <c r="AE157" s="2736"/>
      <c r="AF157" s="2736"/>
      <c r="AG157" s="2737">
        <f t="shared" si="287"/>
        <v>700</v>
      </c>
      <c r="AH157" s="2737"/>
      <c r="AI157" s="2737"/>
      <c r="AJ157" s="2737"/>
      <c r="AK157" s="2737"/>
      <c r="AL157" s="2737"/>
      <c r="AM157" s="2737"/>
      <c r="AN157" s="2737"/>
      <c r="AO157" s="2737"/>
      <c r="AP157" s="2736"/>
      <c r="AQ157" s="2736">
        <f>L157-AC157</f>
        <v>700</v>
      </c>
      <c r="AR157" s="2736"/>
      <c r="AS157" s="2682"/>
      <c r="AT157" s="2691"/>
      <c r="AU157" s="2691"/>
      <c r="AV157" s="2691"/>
      <c r="AW157" s="2691"/>
      <c r="AX157" s="2691"/>
      <c r="AY157" s="2691"/>
      <c r="AZ157" s="2691"/>
      <c r="BA157" s="2691"/>
      <c r="BB157" s="2691"/>
      <c r="BC157" s="2691"/>
      <c r="BD157" s="2691"/>
      <c r="BE157" s="2691"/>
      <c r="BF157" s="2691"/>
      <c r="BG157" s="2691"/>
      <c r="BH157" s="2691"/>
    </row>
    <row r="158" spans="1:60" s="2692" customFormat="1" ht="102" customHeight="1" x14ac:dyDescent="0.25">
      <c r="A158" s="2741">
        <v>25</v>
      </c>
      <c r="B158" s="2690" t="s">
        <v>1410</v>
      </c>
      <c r="C158" s="2761"/>
      <c r="D158" s="2737"/>
      <c r="E158" s="2737"/>
      <c r="F158" s="2737"/>
      <c r="G158" s="2737"/>
      <c r="H158" s="2737"/>
      <c r="I158" s="2737"/>
      <c r="J158" s="2737"/>
      <c r="K158" s="2737"/>
      <c r="L158" s="2736">
        <f t="shared" si="295"/>
        <v>22095652.453000002</v>
      </c>
      <c r="M158" s="2736"/>
      <c r="N158" s="2737"/>
      <c r="O158" s="2736"/>
      <c r="P158" s="2736">
        <f t="shared" si="296"/>
        <v>22095652.453000002</v>
      </c>
      <c r="Q158" s="2736"/>
      <c r="R158" s="2747">
        <v>22095652.453000002</v>
      </c>
      <c r="S158" s="2736">
        <f t="shared" si="285"/>
        <v>22095652.453000002</v>
      </c>
      <c r="T158" s="2736"/>
      <c r="U158" s="2736"/>
      <c r="V158" s="2736"/>
      <c r="W158" s="2736"/>
      <c r="X158" s="2736"/>
      <c r="Y158" s="2736"/>
      <c r="Z158" s="2736"/>
      <c r="AA158" s="2736"/>
      <c r="AB158" s="2736"/>
      <c r="AC158" s="2736">
        <v>22095652.453000002</v>
      </c>
      <c r="AD158" s="2737">
        <f t="shared" si="286"/>
        <v>0</v>
      </c>
      <c r="AE158" s="2736"/>
      <c r="AF158" s="2736"/>
      <c r="AG158" s="2737">
        <f t="shared" si="287"/>
        <v>0</v>
      </c>
      <c r="AH158" s="2737"/>
      <c r="AI158" s="2737"/>
      <c r="AJ158" s="2737"/>
      <c r="AK158" s="2737"/>
      <c r="AL158" s="2737"/>
      <c r="AM158" s="2737"/>
      <c r="AN158" s="2737"/>
      <c r="AO158" s="2737"/>
      <c r="AP158" s="2736"/>
      <c r="AQ158" s="2736"/>
      <c r="AR158" s="2736"/>
      <c r="AS158" s="2682"/>
      <c r="AT158" s="2691"/>
      <c r="AU158" s="2691"/>
      <c r="AV158" s="2691"/>
      <c r="AW158" s="2691"/>
      <c r="AX158" s="2691"/>
      <c r="AY158" s="2691"/>
      <c r="AZ158" s="2691"/>
      <c r="BA158" s="2691"/>
      <c r="BB158" s="2691"/>
      <c r="BC158" s="2691"/>
      <c r="BD158" s="2691"/>
      <c r="BE158" s="2691"/>
      <c r="BF158" s="2691"/>
      <c r="BG158" s="2691"/>
      <c r="BH158" s="2691"/>
    </row>
    <row r="159" spans="1:60" s="2692" customFormat="1" ht="101.25" customHeight="1" x14ac:dyDescent="0.25">
      <c r="A159" s="2741">
        <v>26</v>
      </c>
      <c r="B159" s="2690" t="s">
        <v>1409</v>
      </c>
      <c r="C159" s="2761"/>
      <c r="D159" s="2737"/>
      <c r="E159" s="2737"/>
      <c r="F159" s="2737"/>
      <c r="G159" s="2737"/>
      <c r="H159" s="2737"/>
      <c r="I159" s="2737"/>
      <c r="J159" s="2737"/>
      <c r="K159" s="2737"/>
      <c r="L159" s="2736">
        <f t="shared" si="295"/>
        <v>5793053.7019999996</v>
      </c>
      <c r="M159" s="2736"/>
      <c r="N159" s="2736"/>
      <c r="O159" s="2736"/>
      <c r="P159" s="2736">
        <f t="shared" si="296"/>
        <v>5793053.7019999996</v>
      </c>
      <c r="Q159" s="2736"/>
      <c r="R159" s="2747">
        <v>5793053.7019999996</v>
      </c>
      <c r="S159" s="2736">
        <f t="shared" si="285"/>
        <v>5793053.7019999996</v>
      </c>
      <c r="T159" s="2736"/>
      <c r="U159" s="2736"/>
      <c r="V159" s="2736"/>
      <c r="W159" s="2736"/>
      <c r="X159" s="2736"/>
      <c r="Y159" s="2736"/>
      <c r="Z159" s="2736"/>
      <c r="AA159" s="2736"/>
      <c r="AB159" s="2736"/>
      <c r="AC159" s="2736">
        <v>5793053.7019999996</v>
      </c>
      <c r="AD159" s="2737">
        <f t="shared" si="286"/>
        <v>0</v>
      </c>
      <c r="AE159" s="2736"/>
      <c r="AF159" s="2736"/>
      <c r="AG159" s="2737">
        <f t="shared" si="287"/>
        <v>0</v>
      </c>
      <c r="AH159" s="2737"/>
      <c r="AI159" s="2737"/>
      <c r="AJ159" s="2737"/>
      <c r="AK159" s="2737"/>
      <c r="AL159" s="2737"/>
      <c r="AM159" s="2737"/>
      <c r="AN159" s="2737"/>
      <c r="AO159" s="2737"/>
      <c r="AP159" s="2736"/>
      <c r="AQ159" s="2736"/>
      <c r="AR159" s="2736"/>
      <c r="AS159" s="2682"/>
      <c r="AT159" s="2691"/>
      <c r="AU159" s="2691"/>
      <c r="AV159" s="2691"/>
      <c r="AW159" s="2691"/>
      <c r="AX159" s="2691"/>
      <c r="AY159" s="2691"/>
      <c r="AZ159" s="2691"/>
      <c r="BA159" s="2691"/>
      <c r="BB159" s="2691"/>
      <c r="BC159" s="2691"/>
      <c r="BD159" s="2691"/>
      <c r="BE159" s="2691"/>
      <c r="BF159" s="2691"/>
      <c r="BG159" s="2691"/>
      <c r="BH159" s="2691"/>
    </row>
    <row r="160" spans="1:60" s="2692" customFormat="1" ht="91.5" customHeight="1" x14ac:dyDescent="0.25">
      <c r="A160" s="2741">
        <v>27</v>
      </c>
      <c r="B160" s="2690" t="s">
        <v>1414</v>
      </c>
      <c r="C160" s="2761"/>
      <c r="D160" s="2737"/>
      <c r="E160" s="2737"/>
      <c r="F160" s="2737"/>
      <c r="G160" s="2737"/>
      <c r="H160" s="2737"/>
      <c r="I160" s="2737"/>
      <c r="J160" s="2737"/>
      <c r="K160" s="2737"/>
      <c r="L160" s="2736">
        <f t="shared" si="295"/>
        <v>1500000</v>
      </c>
      <c r="M160" s="2736"/>
      <c r="N160" s="2736"/>
      <c r="O160" s="2736"/>
      <c r="P160" s="2736">
        <f t="shared" si="296"/>
        <v>1500000</v>
      </c>
      <c r="Q160" s="2736"/>
      <c r="R160" s="2747">
        <v>1500000</v>
      </c>
      <c r="S160" s="2736">
        <f t="shared" si="285"/>
        <v>1467442.355</v>
      </c>
      <c r="T160" s="2736"/>
      <c r="U160" s="2736"/>
      <c r="V160" s="2736"/>
      <c r="W160" s="2736"/>
      <c r="X160" s="2736"/>
      <c r="Y160" s="2736"/>
      <c r="Z160" s="2736"/>
      <c r="AA160" s="2736"/>
      <c r="AB160" s="2736"/>
      <c r="AC160" s="2736">
        <v>1467442.355</v>
      </c>
      <c r="AD160" s="2737">
        <f t="shared" si="286"/>
        <v>0</v>
      </c>
      <c r="AE160" s="2736"/>
      <c r="AF160" s="2736"/>
      <c r="AG160" s="2737">
        <f t="shared" si="287"/>
        <v>32557.645000000019</v>
      </c>
      <c r="AH160" s="2737"/>
      <c r="AI160" s="2737"/>
      <c r="AJ160" s="2737"/>
      <c r="AK160" s="2737"/>
      <c r="AL160" s="2737"/>
      <c r="AM160" s="2737"/>
      <c r="AN160" s="2737"/>
      <c r="AO160" s="2737"/>
      <c r="AP160" s="2736"/>
      <c r="AQ160" s="2736">
        <f>L160-AC160</f>
        <v>32557.645000000019</v>
      </c>
      <c r="AR160" s="2736"/>
      <c r="AS160" s="2682"/>
      <c r="AT160" s="2691"/>
      <c r="AU160" s="2691"/>
      <c r="AV160" s="2691"/>
      <c r="AW160" s="2691"/>
      <c r="AX160" s="2691"/>
      <c r="AY160" s="2691"/>
      <c r="AZ160" s="2691"/>
      <c r="BA160" s="2691"/>
      <c r="BB160" s="2691"/>
      <c r="BC160" s="2691"/>
      <c r="BD160" s="2691"/>
      <c r="BE160" s="2691"/>
      <c r="BF160" s="2691"/>
      <c r="BG160" s="2691"/>
      <c r="BH160" s="2691"/>
    </row>
    <row r="161" spans="1:60" s="2692" customFormat="1" ht="74.25" customHeight="1" x14ac:dyDescent="0.25">
      <c r="A161" s="2741">
        <v>28</v>
      </c>
      <c r="B161" s="2690" t="s">
        <v>1408</v>
      </c>
      <c r="C161" s="2761"/>
      <c r="D161" s="2737"/>
      <c r="E161" s="2737"/>
      <c r="F161" s="2737"/>
      <c r="G161" s="2737"/>
      <c r="H161" s="2737"/>
      <c r="I161" s="2737"/>
      <c r="J161" s="2737"/>
      <c r="K161" s="2737"/>
      <c r="L161" s="2736">
        <f t="shared" si="295"/>
        <v>6950470</v>
      </c>
      <c r="M161" s="2736"/>
      <c r="N161" s="2736"/>
      <c r="O161" s="2736"/>
      <c r="P161" s="2736">
        <f t="shared" si="296"/>
        <v>6950470</v>
      </c>
      <c r="Q161" s="2736"/>
      <c r="R161" s="2747">
        <v>6950470</v>
      </c>
      <c r="S161" s="2736">
        <f t="shared" si="285"/>
        <v>6950470</v>
      </c>
      <c r="T161" s="2736"/>
      <c r="U161" s="2736"/>
      <c r="V161" s="2736"/>
      <c r="W161" s="2736"/>
      <c r="X161" s="2736"/>
      <c r="Y161" s="2736"/>
      <c r="Z161" s="2736"/>
      <c r="AA161" s="2736"/>
      <c r="AB161" s="2736"/>
      <c r="AC161" s="2736">
        <v>6950470</v>
      </c>
      <c r="AD161" s="2737">
        <f t="shared" si="286"/>
        <v>0</v>
      </c>
      <c r="AE161" s="2736"/>
      <c r="AF161" s="2736"/>
      <c r="AG161" s="2737">
        <f t="shared" si="287"/>
        <v>0</v>
      </c>
      <c r="AH161" s="2737"/>
      <c r="AI161" s="2737"/>
      <c r="AJ161" s="2737"/>
      <c r="AK161" s="2737"/>
      <c r="AL161" s="2737"/>
      <c r="AM161" s="2737"/>
      <c r="AN161" s="2737"/>
      <c r="AO161" s="2737"/>
      <c r="AP161" s="2736"/>
      <c r="AQ161" s="2736"/>
      <c r="AR161" s="2736"/>
      <c r="AS161" s="2682"/>
      <c r="AT161" s="2691"/>
      <c r="AU161" s="2691"/>
      <c r="AV161" s="2691"/>
      <c r="AW161" s="2691"/>
      <c r="AX161" s="2691"/>
      <c r="AY161" s="2691"/>
      <c r="AZ161" s="2691"/>
      <c r="BA161" s="2691"/>
      <c r="BB161" s="2691"/>
      <c r="BC161" s="2691"/>
      <c r="BD161" s="2691"/>
      <c r="BE161" s="2691"/>
      <c r="BF161" s="2691"/>
      <c r="BG161" s="2691"/>
      <c r="BH161" s="2691"/>
    </row>
    <row r="162" spans="1:60" s="2692" customFormat="1" ht="118.5" customHeight="1" x14ac:dyDescent="0.25">
      <c r="A162" s="2741">
        <v>29</v>
      </c>
      <c r="B162" s="2690" t="s">
        <v>1407</v>
      </c>
      <c r="C162" s="2761"/>
      <c r="D162" s="2737"/>
      <c r="E162" s="2737"/>
      <c r="F162" s="2737"/>
      <c r="G162" s="2737"/>
      <c r="H162" s="2737"/>
      <c r="I162" s="2737"/>
      <c r="J162" s="2737"/>
      <c r="K162" s="2737"/>
      <c r="L162" s="2736">
        <f t="shared" si="295"/>
        <v>5502921.8609999996</v>
      </c>
      <c r="M162" s="2736"/>
      <c r="N162" s="2736"/>
      <c r="O162" s="2736"/>
      <c r="P162" s="2736">
        <f t="shared" si="296"/>
        <v>5502921.8609999996</v>
      </c>
      <c r="Q162" s="2736"/>
      <c r="R162" s="2747">
        <v>5502921.8609999996</v>
      </c>
      <c r="S162" s="2736">
        <f t="shared" si="285"/>
        <v>5502921.8609999996</v>
      </c>
      <c r="T162" s="2736"/>
      <c r="U162" s="2736"/>
      <c r="V162" s="2736"/>
      <c r="W162" s="2736"/>
      <c r="X162" s="2736"/>
      <c r="Y162" s="2736"/>
      <c r="Z162" s="2736"/>
      <c r="AA162" s="2736"/>
      <c r="AB162" s="2736"/>
      <c r="AC162" s="2736">
        <v>5502921.8609999996</v>
      </c>
      <c r="AD162" s="2737">
        <f t="shared" si="286"/>
        <v>0</v>
      </c>
      <c r="AE162" s="2736"/>
      <c r="AF162" s="2736"/>
      <c r="AG162" s="2737">
        <f t="shared" si="287"/>
        <v>0</v>
      </c>
      <c r="AH162" s="2737"/>
      <c r="AI162" s="2737"/>
      <c r="AJ162" s="2737"/>
      <c r="AK162" s="2737"/>
      <c r="AL162" s="2737"/>
      <c r="AM162" s="2737"/>
      <c r="AN162" s="2737"/>
      <c r="AO162" s="2737"/>
      <c r="AP162" s="2736"/>
      <c r="AQ162" s="2736"/>
      <c r="AR162" s="2736"/>
      <c r="AS162" s="2682"/>
      <c r="AT162" s="2691"/>
      <c r="AU162" s="2691"/>
      <c r="AV162" s="2691"/>
      <c r="AW162" s="2691"/>
      <c r="AX162" s="2691"/>
      <c r="AY162" s="2691"/>
      <c r="AZ162" s="2691"/>
      <c r="BA162" s="2691"/>
      <c r="BB162" s="2691"/>
      <c r="BC162" s="2691"/>
      <c r="BD162" s="2691"/>
      <c r="BE162" s="2691"/>
      <c r="BF162" s="2691"/>
      <c r="BG162" s="2691"/>
      <c r="BH162" s="2691"/>
    </row>
    <row r="163" spans="1:60" s="2692" customFormat="1" ht="102.75" customHeight="1" x14ac:dyDescent="0.25">
      <c r="A163" s="2741">
        <v>30</v>
      </c>
      <c r="B163" s="2690" t="s">
        <v>1416</v>
      </c>
      <c r="C163" s="2761"/>
      <c r="D163" s="2737"/>
      <c r="E163" s="2737"/>
      <c r="F163" s="2737"/>
      <c r="G163" s="2737"/>
      <c r="H163" s="2737"/>
      <c r="I163" s="2737"/>
      <c r="J163" s="2737"/>
      <c r="K163" s="2737"/>
      <c r="L163" s="2736">
        <f t="shared" si="295"/>
        <v>4500000</v>
      </c>
      <c r="M163" s="2736"/>
      <c r="N163" s="2736"/>
      <c r="O163" s="2736"/>
      <c r="P163" s="2736">
        <f t="shared" si="296"/>
        <v>4500000</v>
      </c>
      <c r="Q163" s="2736"/>
      <c r="R163" s="2747">
        <v>4500000</v>
      </c>
      <c r="S163" s="2736">
        <f t="shared" si="285"/>
        <v>4500000</v>
      </c>
      <c r="T163" s="2736"/>
      <c r="U163" s="2736"/>
      <c r="V163" s="2736"/>
      <c r="W163" s="2736"/>
      <c r="X163" s="2736"/>
      <c r="Y163" s="2736"/>
      <c r="Z163" s="2736"/>
      <c r="AA163" s="2736"/>
      <c r="AB163" s="2736"/>
      <c r="AC163" s="2736">
        <v>4500000</v>
      </c>
      <c r="AD163" s="2737">
        <f t="shared" si="286"/>
        <v>0</v>
      </c>
      <c r="AE163" s="2736"/>
      <c r="AF163" s="2736"/>
      <c r="AG163" s="2737">
        <f t="shared" si="287"/>
        <v>0</v>
      </c>
      <c r="AH163" s="2737"/>
      <c r="AI163" s="2737"/>
      <c r="AJ163" s="2737"/>
      <c r="AK163" s="2737"/>
      <c r="AL163" s="2737"/>
      <c r="AM163" s="2737"/>
      <c r="AN163" s="2737"/>
      <c r="AO163" s="2737"/>
      <c r="AP163" s="2736"/>
      <c r="AQ163" s="2736"/>
      <c r="AR163" s="2736"/>
      <c r="AS163" s="2682"/>
      <c r="AT163" s="2691"/>
      <c r="AU163" s="2691"/>
      <c r="AV163" s="2691"/>
      <c r="AW163" s="2691"/>
      <c r="AX163" s="2691"/>
      <c r="AY163" s="2691"/>
      <c r="AZ163" s="2691"/>
      <c r="BA163" s="2691"/>
      <c r="BB163" s="2691"/>
      <c r="BC163" s="2691"/>
      <c r="BD163" s="2691"/>
      <c r="BE163" s="2691"/>
      <c r="BF163" s="2691"/>
      <c r="BG163" s="2691"/>
      <c r="BH163" s="2691"/>
    </row>
    <row r="164" spans="1:60" s="2692" customFormat="1" ht="46.5" customHeight="1" x14ac:dyDescent="0.25">
      <c r="A164" s="2741">
        <v>31</v>
      </c>
      <c r="B164" s="2690" t="s">
        <v>1415</v>
      </c>
      <c r="C164" s="2761"/>
      <c r="D164" s="2737"/>
      <c r="E164" s="2737"/>
      <c r="F164" s="2737"/>
      <c r="G164" s="2737"/>
      <c r="H164" s="2737"/>
      <c r="I164" s="2737"/>
      <c r="J164" s="2737"/>
      <c r="K164" s="2737"/>
      <c r="L164" s="2736">
        <f t="shared" si="295"/>
        <v>2510000</v>
      </c>
      <c r="M164" s="2736"/>
      <c r="N164" s="2736"/>
      <c r="O164" s="2736"/>
      <c r="P164" s="2736">
        <f t="shared" si="296"/>
        <v>2510000</v>
      </c>
      <c r="Q164" s="2736"/>
      <c r="R164" s="2747">
        <v>2510000</v>
      </c>
      <c r="S164" s="2736">
        <f t="shared" si="285"/>
        <v>2510000</v>
      </c>
      <c r="T164" s="2736"/>
      <c r="U164" s="2736"/>
      <c r="V164" s="2736"/>
      <c r="W164" s="2736"/>
      <c r="X164" s="2736"/>
      <c r="Y164" s="2736"/>
      <c r="Z164" s="2736"/>
      <c r="AA164" s="2736"/>
      <c r="AB164" s="2736"/>
      <c r="AC164" s="2736">
        <v>2510000</v>
      </c>
      <c r="AD164" s="2737">
        <f t="shared" si="286"/>
        <v>0</v>
      </c>
      <c r="AE164" s="2736"/>
      <c r="AF164" s="2736"/>
      <c r="AG164" s="2737">
        <f t="shared" si="287"/>
        <v>0</v>
      </c>
      <c r="AH164" s="2737"/>
      <c r="AI164" s="2737"/>
      <c r="AJ164" s="2737"/>
      <c r="AK164" s="2737"/>
      <c r="AL164" s="2737"/>
      <c r="AM164" s="2737"/>
      <c r="AN164" s="2737"/>
      <c r="AO164" s="2737"/>
      <c r="AP164" s="2736"/>
      <c r="AQ164" s="2736"/>
      <c r="AR164" s="2736"/>
      <c r="AS164" s="2682"/>
      <c r="AT164" s="2691"/>
      <c r="AU164" s="2691"/>
      <c r="AV164" s="2691"/>
      <c r="AW164" s="2691"/>
      <c r="AX164" s="2691"/>
      <c r="AY164" s="2691"/>
      <c r="AZ164" s="2691"/>
      <c r="BA164" s="2691"/>
      <c r="BB164" s="2691"/>
      <c r="BC164" s="2691"/>
      <c r="BD164" s="2691"/>
      <c r="BE164" s="2691"/>
      <c r="BF164" s="2691"/>
      <c r="BG164" s="2691"/>
      <c r="BH164" s="2691"/>
    </row>
    <row r="165" spans="1:60" s="2692" customFormat="1" ht="46.5" customHeight="1" x14ac:dyDescent="0.25">
      <c r="A165" s="2741">
        <v>32</v>
      </c>
      <c r="B165" s="2690" t="s">
        <v>1406</v>
      </c>
      <c r="C165" s="2761"/>
      <c r="D165" s="2737"/>
      <c r="E165" s="2737"/>
      <c r="F165" s="2737"/>
      <c r="G165" s="2737"/>
      <c r="H165" s="2737"/>
      <c r="I165" s="2737"/>
      <c r="J165" s="2737"/>
      <c r="K165" s="2737"/>
      <c r="L165" s="2736">
        <f t="shared" si="295"/>
        <v>301000</v>
      </c>
      <c r="M165" s="2736"/>
      <c r="N165" s="2736"/>
      <c r="O165" s="2736"/>
      <c r="P165" s="2736">
        <f t="shared" si="296"/>
        <v>301000</v>
      </c>
      <c r="Q165" s="2736"/>
      <c r="R165" s="2747">
        <v>301000</v>
      </c>
      <c r="S165" s="2736">
        <f t="shared" si="285"/>
        <v>262425</v>
      </c>
      <c r="T165" s="2736"/>
      <c r="U165" s="2736"/>
      <c r="V165" s="2736"/>
      <c r="W165" s="2736"/>
      <c r="X165" s="2736"/>
      <c r="Y165" s="2736"/>
      <c r="Z165" s="2736"/>
      <c r="AA165" s="2736"/>
      <c r="AB165" s="2736"/>
      <c r="AC165" s="2736">
        <v>262425</v>
      </c>
      <c r="AD165" s="2737">
        <f t="shared" si="286"/>
        <v>0</v>
      </c>
      <c r="AE165" s="2736"/>
      <c r="AF165" s="2736"/>
      <c r="AG165" s="2737">
        <f t="shared" si="287"/>
        <v>38575</v>
      </c>
      <c r="AH165" s="2737"/>
      <c r="AI165" s="2737"/>
      <c r="AJ165" s="2737"/>
      <c r="AK165" s="2737"/>
      <c r="AL165" s="2737"/>
      <c r="AM165" s="2737"/>
      <c r="AN165" s="2737"/>
      <c r="AO165" s="2737"/>
      <c r="AP165" s="2736"/>
      <c r="AQ165" s="2736">
        <f>L165-AC165</f>
        <v>38575</v>
      </c>
      <c r="AR165" s="2736"/>
      <c r="AS165" s="2682"/>
      <c r="AT165" s="2691"/>
      <c r="AU165" s="2691"/>
      <c r="AV165" s="2691"/>
      <c r="AW165" s="2691"/>
      <c r="AX165" s="2691"/>
      <c r="AY165" s="2691"/>
      <c r="AZ165" s="2691"/>
      <c r="BA165" s="2691"/>
      <c r="BB165" s="2691"/>
      <c r="BC165" s="2691"/>
      <c r="BD165" s="2691"/>
      <c r="BE165" s="2691"/>
      <c r="BF165" s="2691"/>
      <c r="BG165" s="2691"/>
      <c r="BH165" s="2691"/>
    </row>
    <row r="166" spans="1:60" s="2692" customFormat="1" ht="60.75" customHeight="1" x14ac:dyDescent="0.25">
      <c r="A166" s="2741">
        <v>33</v>
      </c>
      <c r="B166" s="2690" t="s">
        <v>1437</v>
      </c>
      <c r="C166" s="2761"/>
      <c r="D166" s="2737"/>
      <c r="E166" s="2737"/>
      <c r="F166" s="2737"/>
      <c r="G166" s="2737"/>
      <c r="H166" s="2737"/>
      <c r="I166" s="2737"/>
      <c r="J166" s="2737"/>
      <c r="K166" s="2737"/>
      <c r="L166" s="2736">
        <f t="shared" si="295"/>
        <v>690000</v>
      </c>
      <c r="M166" s="2736"/>
      <c r="N166" s="2736"/>
      <c r="O166" s="2736"/>
      <c r="P166" s="2736">
        <f t="shared" si="296"/>
        <v>690000</v>
      </c>
      <c r="Q166" s="2736"/>
      <c r="R166" s="2747">
        <v>690000</v>
      </c>
      <c r="S166" s="2736">
        <f t="shared" si="285"/>
        <v>690000</v>
      </c>
      <c r="T166" s="2736"/>
      <c r="U166" s="2736"/>
      <c r="V166" s="2736"/>
      <c r="W166" s="2736"/>
      <c r="X166" s="2736"/>
      <c r="Y166" s="2736"/>
      <c r="Z166" s="2736"/>
      <c r="AA166" s="2736"/>
      <c r="AB166" s="2736"/>
      <c r="AC166" s="2736">
        <v>690000</v>
      </c>
      <c r="AD166" s="2737">
        <f t="shared" si="286"/>
        <v>0</v>
      </c>
      <c r="AE166" s="2736"/>
      <c r="AF166" s="2736"/>
      <c r="AG166" s="2737">
        <f t="shared" si="287"/>
        <v>0</v>
      </c>
      <c r="AH166" s="2737"/>
      <c r="AI166" s="2737"/>
      <c r="AJ166" s="2737"/>
      <c r="AK166" s="2737"/>
      <c r="AL166" s="2737"/>
      <c r="AM166" s="2737"/>
      <c r="AN166" s="2737"/>
      <c r="AO166" s="2737"/>
      <c r="AP166" s="2736"/>
      <c r="AQ166" s="2736"/>
      <c r="AR166" s="2736"/>
      <c r="AS166" s="2682"/>
      <c r="AT166" s="2691"/>
      <c r="AU166" s="2691"/>
      <c r="AV166" s="2691"/>
      <c r="AW166" s="2691"/>
      <c r="AX166" s="2691"/>
      <c r="AY166" s="2691"/>
      <c r="AZ166" s="2691"/>
      <c r="BA166" s="2691"/>
      <c r="BB166" s="2691"/>
      <c r="BC166" s="2691"/>
      <c r="BD166" s="2691"/>
      <c r="BE166" s="2691"/>
      <c r="BF166" s="2691"/>
      <c r="BG166" s="2691"/>
      <c r="BH166" s="2691"/>
    </row>
    <row r="167" spans="1:60" s="2692" customFormat="1" ht="64.5" customHeight="1" x14ac:dyDescent="0.25">
      <c r="A167" s="2741">
        <v>34</v>
      </c>
      <c r="B167" s="2690" t="s">
        <v>1405</v>
      </c>
      <c r="C167" s="2761"/>
      <c r="D167" s="2737"/>
      <c r="E167" s="2737"/>
      <c r="F167" s="2737"/>
      <c r="G167" s="2737"/>
      <c r="H167" s="2737"/>
      <c r="I167" s="2737"/>
      <c r="J167" s="2737"/>
      <c r="K167" s="2737"/>
      <c r="L167" s="2736">
        <f t="shared" si="295"/>
        <v>1842607.5</v>
      </c>
      <c r="M167" s="2736"/>
      <c r="N167" s="2736"/>
      <c r="O167" s="2736"/>
      <c r="P167" s="2736">
        <f t="shared" si="296"/>
        <v>1842607.5</v>
      </c>
      <c r="Q167" s="2736"/>
      <c r="R167" s="2747">
        <v>1842607.5</v>
      </c>
      <c r="S167" s="2736">
        <f t="shared" si="285"/>
        <v>1842607.5</v>
      </c>
      <c r="T167" s="2736"/>
      <c r="U167" s="2736"/>
      <c r="V167" s="2736"/>
      <c r="W167" s="2736"/>
      <c r="X167" s="2736"/>
      <c r="Y167" s="2736"/>
      <c r="Z167" s="2736"/>
      <c r="AA167" s="2736"/>
      <c r="AB167" s="2736"/>
      <c r="AC167" s="2736">
        <v>1842607.5</v>
      </c>
      <c r="AD167" s="2737">
        <f t="shared" si="286"/>
        <v>0</v>
      </c>
      <c r="AE167" s="2736"/>
      <c r="AF167" s="2736"/>
      <c r="AG167" s="2737">
        <f t="shared" si="287"/>
        <v>0</v>
      </c>
      <c r="AH167" s="2737"/>
      <c r="AI167" s="2737"/>
      <c r="AJ167" s="2737"/>
      <c r="AK167" s="2737"/>
      <c r="AL167" s="2737"/>
      <c r="AM167" s="2737"/>
      <c r="AN167" s="2737"/>
      <c r="AO167" s="2737"/>
      <c r="AP167" s="2736"/>
      <c r="AQ167" s="2736"/>
      <c r="AR167" s="2736"/>
      <c r="AS167" s="2682"/>
      <c r="AT167" s="2691"/>
      <c r="AU167" s="2691"/>
      <c r="AV167" s="2691"/>
      <c r="AW167" s="2691"/>
      <c r="AX167" s="2691"/>
      <c r="AY167" s="2691"/>
      <c r="AZ167" s="2691"/>
      <c r="BA167" s="2691"/>
      <c r="BB167" s="2691"/>
      <c r="BC167" s="2691"/>
      <c r="BD167" s="2691"/>
      <c r="BE167" s="2691"/>
      <c r="BF167" s="2691"/>
      <c r="BG167" s="2691"/>
      <c r="BH167" s="2691"/>
    </row>
    <row r="168" spans="1:60" s="2692" customFormat="1" ht="114.75" customHeight="1" x14ac:dyDescent="0.25">
      <c r="A168" s="2741">
        <v>35</v>
      </c>
      <c r="B168" s="2690" t="s">
        <v>1404</v>
      </c>
      <c r="C168" s="2761"/>
      <c r="D168" s="2737"/>
      <c r="E168" s="2737"/>
      <c r="F168" s="2737"/>
      <c r="G168" s="2737"/>
      <c r="H168" s="2737"/>
      <c r="I168" s="2737"/>
      <c r="J168" s="2737"/>
      <c r="K168" s="2737"/>
      <c r="L168" s="2736">
        <f t="shared" si="295"/>
        <v>525798</v>
      </c>
      <c r="M168" s="2736"/>
      <c r="N168" s="2736"/>
      <c r="O168" s="2736"/>
      <c r="P168" s="2736">
        <f t="shared" si="296"/>
        <v>525798</v>
      </c>
      <c r="Q168" s="2736"/>
      <c r="R168" s="2747">
        <v>525798</v>
      </c>
      <c r="S168" s="2736">
        <f t="shared" si="285"/>
        <v>525798</v>
      </c>
      <c r="T168" s="2736"/>
      <c r="U168" s="2736"/>
      <c r="V168" s="2736"/>
      <c r="W168" s="2736"/>
      <c r="X168" s="2736"/>
      <c r="Y168" s="2736"/>
      <c r="Z168" s="2736"/>
      <c r="AA168" s="2736"/>
      <c r="AB168" s="2736"/>
      <c r="AC168" s="2736">
        <v>525798</v>
      </c>
      <c r="AD168" s="2737">
        <f t="shared" si="286"/>
        <v>0</v>
      </c>
      <c r="AE168" s="2736"/>
      <c r="AF168" s="2736"/>
      <c r="AG168" s="2737">
        <f t="shared" si="287"/>
        <v>0</v>
      </c>
      <c r="AH168" s="2737"/>
      <c r="AI168" s="2737"/>
      <c r="AJ168" s="2737"/>
      <c r="AK168" s="2737"/>
      <c r="AL168" s="2737"/>
      <c r="AM168" s="2737"/>
      <c r="AN168" s="2737"/>
      <c r="AO168" s="2737"/>
      <c r="AP168" s="2736"/>
      <c r="AQ168" s="2736"/>
      <c r="AR168" s="2736"/>
      <c r="AS168" s="2682"/>
      <c r="AT168" s="2691"/>
      <c r="AU168" s="2691"/>
      <c r="AV168" s="2691"/>
      <c r="AW168" s="2691"/>
      <c r="AX168" s="2691"/>
      <c r="AY168" s="2691"/>
      <c r="AZ168" s="2691"/>
      <c r="BA168" s="2691"/>
      <c r="BB168" s="2691"/>
      <c r="BC168" s="2691"/>
      <c r="BD168" s="2691"/>
      <c r="BE168" s="2691"/>
      <c r="BF168" s="2691"/>
      <c r="BG168" s="2691"/>
      <c r="BH168" s="2691"/>
    </row>
    <row r="169" spans="1:60" s="2692" customFormat="1" ht="116.25" customHeight="1" x14ac:dyDescent="0.25">
      <c r="A169" s="2741">
        <v>36</v>
      </c>
      <c r="B169" s="2690" t="s">
        <v>1403</v>
      </c>
      <c r="C169" s="2761"/>
      <c r="D169" s="2737"/>
      <c r="E169" s="2737"/>
      <c r="F169" s="2737"/>
      <c r="G169" s="2737"/>
      <c r="H169" s="2737"/>
      <c r="I169" s="2737"/>
      <c r="J169" s="2737"/>
      <c r="K169" s="2737"/>
      <c r="L169" s="2736">
        <f t="shared" si="295"/>
        <v>367200</v>
      </c>
      <c r="M169" s="2736"/>
      <c r="N169" s="2736"/>
      <c r="O169" s="2736"/>
      <c r="P169" s="2736">
        <f t="shared" si="296"/>
        <v>367200</v>
      </c>
      <c r="Q169" s="2736"/>
      <c r="R169" s="2747">
        <v>367200</v>
      </c>
      <c r="S169" s="2736">
        <f t="shared" si="285"/>
        <v>362000</v>
      </c>
      <c r="T169" s="2736"/>
      <c r="U169" s="2736"/>
      <c r="V169" s="2736"/>
      <c r="W169" s="2736"/>
      <c r="X169" s="2736"/>
      <c r="Y169" s="2736"/>
      <c r="Z169" s="2736"/>
      <c r="AA169" s="2736"/>
      <c r="AB169" s="2736"/>
      <c r="AC169" s="2736">
        <v>362000</v>
      </c>
      <c r="AD169" s="2737">
        <f t="shared" si="286"/>
        <v>0</v>
      </c>
      <c r="AE169" s="2736"/>
      <c r="AF169" s="2736"/>
      <c r="AG169" s="2737">
        <f t="shared" si="287"/>
        <v>5200</v>
      </c>
      <c r="AH169" s="2737"/>
      <c r="AI169" s="2737"/>
      <c r="AJ169" s="2737"/>
      <c r="AK169" s="2737"/>
      <c r="AL169" s="2737"/>
      <c r="AM169" s="2737"/>
      <c r="AN169" s="2737"/>
      <c r="AO169" s="2737"/>
      <c r="AP169" s="2736"/>
      <c r="AQ169" s="2736">
        <f>L169-AC169</f>
        <v>5200</v>
      </c>
      <c r="AR169" s="2736"/>
      <c r="AS169" s="2682"/>
      <c r="AT169" s="2691"/>
      <c r="AU169" s="2691"/>
      <c r="AV169" s="2691"/>
      <c r="AW169" s="2691"/>
      <c r="AX169" s="2691"/>
      <c r="AY169" s="2691"/>
      <c r="AZ169" s="2691"/>
      <c r="BA169" s="2691"/>
      <c r="BB169" s="2691"/>
      <c r="BC169" s="2691"/>
      <c r="BD169" s="2691"/>
      <c r="BE169" s="2691"/>
      <c r="BF169" s="2691"/>
      <c r="BG169" s="2691"/>
      <c r="BH169" s="2691"/>
    </row>
    <row r="170" spans="1:60" s="2692" customFormat="1" ht="88.5" customHeight="1" x14ac:dyDescent="0.25">
      <c r="A170" s="2741">
        <v>37</v>
      </c>
      <c r="B170" s="2690" t="s">
        <v>1402</v>
      </c>
      <c r="C170" s="2761"/>
      <c r="D170" s="2737"/>
      <c r="E170" s="2737"/>
      <c r="F170" s="2737"/>
      <c r="G170" s="2737"/>
      <c r="H170" s="2737"/>
      <c r="I170" s="2737"/>
      <c r="J170" s="2737"/>
      <c r="K170" s="2737"/>
      <c r="L170" s="2736">
        <f t="shared" si="295"/>
        <v>3718000</v>
      </c>
      <c r="M170" s="2736"/>
      <c r="N170" s="2736"/>
      <c r="O170" s="2736"/>
      <c r="P170" s="2736">
        <f t="shared" si="296"/>
        <v>3718000</v>
      </c>
      <c r="Q170" s="2736"/>
      <c r="R170" s="2747">
        <v>3718000</v>
      </c>
      <c r="S170" s="2736">
        <f t="shared" si="285"/>
        <v>0</v>
      </c>
      <c r="T170" s="2736"/>
      <c r="U170" s="2736"/>
      <c r="V170" s="2736"/>
      <c r="W170" s="2736"/>
      <c r="X170" s="2736"/>
      <c r="Y170" s="2736"/>
      <c r="Z170" s="2736"/>
      <c r="AA170" s="2736"/>
      <c r="AB170" s="2736"/>
      <c r="AC170" s="2736"/>
      <c r="AD170" s="2737">
        <f t="shared" si="286"/>
        <v>3718000</v>
      </c>
      <c r="AE170" s="2736"/>
      <c r="AF170" s="2736">
        <f>L170</f>
        <v>3718000</v>
      </c>
      <c r="AG170" s="2737">
        <f t="shared" si="287"/>
        <v>0</v>
      </c>
      <c r="AH170" s="2737"/>
      <c r="AI170" s="2737"/>
      <c r="AJ170" s="2737"/>
      <c r="AK170" s="2737"/>
      <c r="AL170" s="2737"/>
      <c r="AM170" s="2737"/>
      <c r="AN170" s="2737"/>
      <c r="AO170" s="2737"/>
      <c r="AP170" s="2736"/>
      <c r="AQ170" s="2736"/>
      <c r="AR170" s="2736"/>
      <c r="AS170" s="2682"/>
      <c r="AT170" s="2691"/>
      <c r="AU170" s="2691"/>
      <c r="AV170" s="2691"/>
      <c r="AW170" s="2691"/>
      <c r="AX170" s="2691"/>
      <c r="AY170" s="2691"/>
      <c r="AZ170" s="2691"/>
      <c r="BA170" s="2691"/>
      <c r="BB170" s="2691"/>
      <c r="BC170" s="2691"/>
      <c r="BD170" s="2691"/>
      <c r="BE170" s="2691"/>
      <c r="BF170" s="2691"/>
      <c r="BG170" s="2691"/>
      <c r="BH170" s="2691"/>
    </row>
    <row r="171" spans="1:60" s="2897" customFormat="1" ht="72.75" hidden="1" customHeight="1" x14ac:dyDescent="0.25">
      <c r="A171" s="2741">
        <v>38</v>
      </c>
      <c r="B171" s="2890" t="s">
        <v>1401</v>
      </c>
      <c r="C171" s="2891"/>
      <c r="D171" s="2892"/>
      <c r="E171" s="2892"/>
      <c r="F171" s="2892"/>
      <c r="G171" s="2892"/>
      <c r="H171" s="2892"/>
      <c r="I171" s="2892"/>
      <c r="J171" s="2892"/>
      <c r="K171" s="2892"/>
      <c r="L171" s="2893">
        <f t="shared" si="295"/>
        <v>0</v>
      </c>
      <c r="M171" s="2893"/>
      <c r="N171" s="2893"/>
      <c r="O171" s="2893"/>
      <c r="P171" s="2893">
        <f t="shared" si="296"/>
        <v>0</v>
      </c>
      <c r="Q171" s="2893"/>
      <c r="R171" s="2894"/>
      <c r="S171" s="2736">
        <f t="shared" si="285"/>
        <v>0</v>
      </c>
      <c r="T171" s="2893"/>
      <c r="U171" s="2893"/>
      <c r="V171" s="2893"/>
      <c r="W171" s="2893"/>
      <c r="X171" s="2893"/>
      <c r="Y171" s="2893"/>
      <c r="Z171" s="2893"/>
      <c r="AA171" s="2893"/>
      <c r="AB171" s="2893"/>
      <c r="AC171" s="2893"/>
      <c r="AD171" s="2737">
        <f t="shared" si="286"/>
        <v>0</v>
      </c>
      <c r="AE171" s="2893"/>
      <c r="AF171" s="2893"/>
      <c r="AG171" s="2737">
        <f t="shared" si="287"/>
        <v>0</v>
      </c>
      <c r="AH171" s="2892"/>
      <c r="AI171" s="2892"/>
      <c r="AJ171" s="2892"/>
      <c r="AK171" s="2892"/>
      <c r="AL171" s="2892"/>
      <c r="AM171" s="2892"/>
      <c r="AN171" s="2892"/>
      <c r="AO171" s="2892"/>
      <c r="AP171" s="2893"/>
      <c r="AQ171" s="2893"/>
      <c r="AR171" s="2893"/>
      <c r="AS171" s="2895"/>
      <c r="AT171" s="2896"/>
      <c r="AU171" s="2896"/>
      <c r="AV171" s="2896"/>
      <c r="AW171" s="2896"/>
      <c r="AX171" s="2896"/>
      <c r="AY171" s="2896"/>
      <c r="AZ171" s="2896"/>
      <c r="BA171" s="2896"/>
      <c r="BB171" s="2896"/>
      <c r="BC171" s="2896"/>
      <c r="BD171" s="2896"/>
      <c r="BE171" s="2896"/>
      <c r="BF171" s="2896"/>
      <c r="BG171" s="2896"/>
      <c r="BH171" s="2896"/>
    </row>
    <row r="172" spans="1:60" s="2897" customFormat="1" ht="80.25" hidden="1" customHeight="1" x14ac:dyDescent="0.25">
      <c r="A172" s="2741">
        <v>39</v>
      </c>
      <c r="B172" s="2890" t="s">
        <v>1400</v>
      </c>
      <c r="C172" s="2891"/>
      <c r="D172" s="2892"/>
      <c r="E172" s="2892"/>
      <c r="F172" s="2892"/>
      <c r="G172" s="2892"/>
      <c r="H172" s="2892"/>
      <c r="I172" s="2892"/>
      <c r="J172" s="2892"/>
      <c r="K172" s="2892"/>
      <c r="L172" s="2893">
        <f t="shared" si="295"/>
        <v>0</v>
      </c>
      <c r="M172" s="2893"/>
      <c r="N172" s="2893"/>
      <c r="O172" s="2893"/>
      <c r="P172" s="2893">
        <f t="shared" si="296"/>
        <v>0</v>
      </c>
      <c r="Q172" s="2893"/>
      <c r="R172" s="2894"/>
      <c r="S172" s="2736">
        <f t="shared" si="285"/>
        <v>0</v>
      </c>
      <c r="T172" s="2893"/>
      <c r="U172" s="2893"/>
      <c r="V172" s="2893"/>
      <c r="W172" s="2893"/>
      <c r="X172" s="2893"/>
      <c r="Y172" s="2893"/>
      <c r="Z172" s="2893"/>
      <c r="AA172" s="2893"/>
      <c r="AB172" s="2893"/>
      <c r="AC172" s="2893"/>
      <c r="AD172" s="2737">
        <f t="shared" si="286"/>
        <v>0</v>
      </c>
      <c r="AE172" s="2893"/>
      <c r="AF172" s="2893"/>
      <c r="AG172" s="2737">
        <f t="shared" si="287"/>
        <v>0</v>
      </c>
      <c r="AH172" s="2892"/>
      <c r="AI172" s="2892"/>
      <c r="AJ172" s="2892"/>
      <c r="AK172" s="2892"/>
      <c r="AL172" s="2892"/>
      <c r="AM172" s="2892"/>
      <c r="AN172" s="2892"/>
      <c r="AO172" s="2892"/>
      <c r="AP172" s="2893"/>
      <c r="AQ172" s="2893"/>
      <c r="AR172" s="2893"/>
      <c r="AS172" s="2895"/>
      <c r="AT172" s="2896"/>
      <c r="AU172" s="2896"/>
      <c r="AV172" s="2896"/>
      <c r="AW172" s="2896"/>
      <c r="AX172" s="2896"/>
      <c r="AY172" s="2896"/>
      <c r="AZ172" s="2896"/>
      <c r="BA172" s="2896"/>
      <c r="BB172" s="2896"/>
      <c r="BC172" s="2896"/>
      <c r="BD172" s="2896"/>
      <c r="BE172" s="2896"/>
      <c r="BF172" s="2896"/>
      <c r="BG172" s="2896"/>
      <c r="BH172" s="2896"/>
    </row>
    <row r="173" spans="1:60" s="2692" customFormat="1" ht="72.75" customHeight="1" x14ac:dyDescent="0.25">
      <c r="A173" s="2741">
        <v>38</v>
      </c>
      <c r="B173" s="2690" t="s">
        <v>2021</v>
      </c>
      <c r="C173" s="2761"/>
      <c r="D173" s="2737"/>
      <c r="E173" s="2737"/>
      <c r="F173" s="2737"/>
      <c r="G173" s="2737"/>
      <c r="H173" s="2737"/>
      <c r="I173" s="2737"/>
      <c r="J173" s="2737"/>
      <c r="K173" s="2737"/>
      <c r="L173" s="2736">
        <f t="shared" si="295"/>
        <v>197800</v>
      </c>
      <c r="M173" s="2736"/>
      <c r="N173" s="2736"/>
      <c r="O173" s="2736"/>
      <c r="P173" s="2736">
        <f t="shared" si="296"/>
        <v>197800</v>
      </c>
      <c r="Q173" s="2736"/>
      <c r="R173" s="2747">
        <v>197800</v>
      </c>
      <c r="S173" s="2736">
        <f t="shared" si="285"/>
        <v>197800</v>
      </c>
      <c r="T173" s="2736"/>
      <c r="U173" s="2736"/>
      <c r="V173" s="2736"/>
      <c r="W173" s="2736"/>
      <c r="X173" s="2736"/>
      <c r="Y173" s="2736"/>
      <c r="Z173" s="2736"/>
      <c r="AA173" s="2736"/>
      <c r="AB173" s="2736"/>
      <c r="AC173" s="2736">
        <v>197800</v>
      </c>
      <c r="AD173" s="2737">
        <f t="shared" si="286"/>
        <v>0</v>
      </c>
      <c r="AE173" s="2736"/>
      <c r="AF173" s="2736"/>
      <c r="AG173" s="2737">
        <f t="shared" si="287"/>
        <v>0</v>
      </c>
      <c r="AH173" s="2737"/>
      <c r="AI173" s="2737"/>
      <c r="AJ173" s="2737"/>
      <c r="AK173" s="2737"/>
      <c r="AL173" s="2737"/>
      <c r="AM173" s="2737"/>
      <c r="AN173" s="2737"/>
      <c r="AO173" s="2737"/>
      <c r="AP173" s="2736"/>
      <c r="AQ173" s="2736"/>
      <c r="AR173" s="2736"/>
      <c r="AS173" s="2682"/>
      <c r="AT173" s="2691"/>
      <c r="AU173" s="2691"/>
      <c r="AV173" s="2691"/>
      <c r="AW173" s="2691"/>
      <c r="AX173" s="2691"/>
      <c r="AY173" s="2691"/>
      <c r="AZ173" s="2691"/>
      <c r="BA173" s="2691"/>
      <c r="BB173" s="2691"/>
      <c r="BC173" s="2691"/>
      <c r="BD173" s="2691"/>
      <c r="BE173" s="2691"/>
      <c r="BF173" s="2691"/>
      <c r="BG173" s="2691"/>
      <c r="BH173" s="2691"/>
    </row>
    <row r="174" spans="1:60" s="2692" customFormat="1" ht="54.75" customHeight="1" x14ac:dyDescent="0.25">
      <c r="A174" s="2741">
        <v>39</v>
      </c>
      <c r="B174" s="2690" t="s">
        <v>1399</v>
      </c>
      <c r="C174" s="2761"/>
      <c r="D174" s="2737"/>
      <c r="E174" s="2737"/>
      <c r="F174" s="2737"/>
      <c r="G174" s="2737"/>
      <c r="H174" s="2737"/>
      <c r="I174" s="2737"/>
      <c r="J174" s="2737"/>
      <c r="K174" s="2737"/>
      <c r="L174" s="2736">
        <f t="shared" si="295"/>
        <v>5000000</v>
      </c>
      <c r="M174" s="2736"/>
      <c r="N174" s="2736"/>
      <c r="O174" s="2736"/>
      <c r="P174" s="2736">
        <f t="shared" si="296"/>
        <v>5000000</v>
      </c>
      <c r="Q174" s="2736"/>
      <c r="R174" s="2747">
        <v>5000000</v>
      </c>
      <c r="S174" s="2736">
        <f t="shared" si="285"/>
        <v>0</v>
      </c>
      <c r="T174" s="2736"/>
      <c r="U174" s="2736"/>
      <c r="V174" s="2736"/>
      <c r="W174" s="2736"/>
      <c r="X174" s="2736"/>
      <c r="Y174" s="2736"/>
      <c r="Z174" s="2736"/>
      <c r="AA174" s="2736"/>
      <c r="AB174" s="2736"/>
      <c r="AC174" s="2736"/>
      <c r="AD174" s="2737">
        <f t="shared" si="286"/>
        <v>5000000</v>
      </c>
      <c r="AE174" s="2736"/>
      <c r="AF174" s="2736">
        <f>L174</f>
        <v>5000000</v>
      </c>
      <c r="AG174" s="2737">
        <f t="shared" si="287"/>
        <v>0</v>
      </c>
      <c r="AH174" s="2737"/>
      <c r="AI174" s="2737"/>
      <c r="AJ174" s="2737"/>
      <c r="AK174" s="2737"/>
      <c r="AL174" s="2737"/>
      <c r="AM174" s="2737"/>
      <c r="AN174" s="2737"/>
      <c r="AO174" s="2737"/>
      <c r="AP174" s="2736"/>
      <c r="AQ174" s="2736"/>
      <c r="AR174" s="2736"/>
      <c r="AS174" s="2682"/>
      <c r="AT174" s="2691"/>
      <c r="AU174" s="2691"/>
      <c r="AV174" s="2691"/>
      <c r="AW174" s="2691"/>
      <c r="AX174" s="2691"/>
      <c r="AY174" s="2691"/>
      <c r="AZ174" s="2691"/>
      <c r="BA174" s="2691"/>
      <c r="BB174" s="2691"/>
      <c r="BC174" s="2691"/>
      <c r="BD174" s="2691"/>
      <c r="BE174" s="2691"/>
      <c r="BF174" s="2691"/>
      <c r="BG174" s="2691"/>
      <c r="BH174" s="2691"/>
    </row>
    <row r="175" spans="1:60" hidden="1" x14ac:dyDescent="0.2"/>
    <row r="176" spans="1:60" ht="27" hidden="1" customHeight="1" x14ac:dyDescent="0.2">
      <c r="AG176" s="3359" t="s">
        <v>2346</v>
      </c>
      <c r="AH176" s="3359"/>
      <c r="AI176" s="3359"/>
      <c r="AJ176" s="3359"/>
      <c r="AK176" s="3359"/>
      <c r="AL176" s="3359"/>
      <c r="AM176" s="3359"/>
      <c r="AN176" s="3359"/>
      <c r="AO176" s="3359"/>
      <c r="AP176" s="3359"/>
      <c r="AQ176" s="3359"/>
      <c r="AR176" s="3359"/>
      <c r="AS176" s="2704"/>
    </row>
    <row r="177" spans="33:45" ht="20.25" hidden="1" customHeight="1" x14ac:dyDescent="0.2">
      <c r="AG177" s="3358" t="s">
        <v>1075</v>
      </c>
      <c r="AH177" s="3358"/>
      <c r="AI177" s="3358"/>
      <c r="AJ177" s="3358"/>
      <c r="AK177" s="3358"/>
      <c r="AL177" s="3358"/>
      <c r="AM177" s="3358"/>
      <c r="AN177" s="3358"/>
      <c r="AO177" s="3358"/>
      <c r="AP177" s="3358"/>
      <c r="AQ177" s="3358"/>
      <c r="AR177" s="3358"/>
      <c r="AS177" s="2698"/>
    </row>
    <row r="178" spans="33:45" ht="18.75" hidden="1" customHeight="1" x14ac:dyDescent="0.2">
      <c r="AG178" s="3359" t="s">
        <v>12</v>
      </c>
      <c r="AH178" s="3359"/>
      <c r="AI178" s="3359"/>
      <c r="AJ178" s="3359"/>
      <c r="AK178" s="3359"/>
      <c r="AL178" s="3359"/>
      <c r="AM178" s="3359"/>
      <c r="AN178" s="3359"/>
      <c r="AO178" s="3359"/>
      <c r="AP178" s="3359"/>
      <c r="AQ178" s="3359"/>
      <c r="AR178" s="3359"/>
      <c r="AS178" s="2725"/>
    </row>
    <row r="179" spans="33:45" hidden="1" x14ac:dyDescent="0.2">
      <c r="AK179" s="2704"/>
      <c r="AL179" s="2704"/>
      <c r="AM179" s="2704"/>
      <c r="AN179" s="2704"/>
      <c r="AO179" s="2704"/>
      <c r="AP179" s="2704"/>
      <c r="AQ179" s="2704"/>
      <c r="AR179" s="2704"/>
      <c r="AS179" s="2704"/>
    </row>
    <row r="180" spans="33:45" hidden="1" x14ac:dyDescent="0.2"/>
    <row r="181" spans="33:45" hidden="1" x14ac:dyDescent="0.2"/>
    <row r="182" spans="33:45" hidden="1" x14ac:dyDescent="0.2"/>
    <row r="183" spans="33:45" hidden="1" x14ac:dyDescent="0.2"/>
    <row r="184" spans="33:45" ht="16.5" hidden="1" x14ac:dyDescent="0.25">
      <c r="AG184" s="3360" t="s">
        <v>1386</v>
      </c>
      <c r="AH184" s="3360"/>
      <c r="AI184" s="3360"/>
      <c r="AJ184" s="3360"/>
      <c r="AK184" s="3360"/>
      <c r="AL184" s="3360"/>
      <c r="AM184" s="3360"/>
      <c r="AN184" s="3360"/>
      <c r="AO184" s="3360"/>
      <c r="AP184" s="3360"/>
      <c r="AQ184" s="3360"/>
      <c r="AR184" s="3360"/>
    </row>
  </sheetData>
  <mergeCells count="41">
    <mergeCell ref="V6:W6"/>
    <mergeCell ref="X6:Y6"/>
    <mergeCell ref="AD5:AF5"/>
    <mergeCell ref="AG6:AG7"/>
    <mergeCell ref="H6:I6"/>
    <mergeCell ref="J6:K6"/>
    <mergeCell ref="L6:L7"/>
    <mergeCell ref="S6:S7"/>
    <mergeCell ref="T6:U6"/>
    <mergeCell ref="AL6:AM6"/>
    <mergeCell ref="M6:O6"/>
    <mergeCell ref="P6:R6"/>
    <mergeCell ref="AG5:AQ5"/>
    <mergeCell ref="A1:B1"/>
    <mergeCell ref="A2:AS2"/>
    <mergeCell ref="A3:AS3"/>
    <mergeCell ref="AP4:AS4"/>
    <mergeCell ref="AQ1:AR1"/>
    <mergeCell ref="AN6:AO6"/>
    <mergeCell ref="AP6:AQ6"/>
    <mergeCell ref="AR5:AR7"/>
    <mergeCell ref="AS5:AS7"/>
    <mergeCell ref="C6:C7"/>
    <mergeCell ref="D6:E6"/>
    <mergeCell ref="F6:G6"/>
    <mergeCell ref="AG177:AR177"/>
    <mergeCell ref="AG176:AR176"/>
    <mergeCell ref="AG178:AR178"/>
    <mergeCell ref="AG184:AR184"/>
    <mergeCell ref="A5:A7"/>
    <mergeCell ref="B5:B7"/>
    <mergeCell ref="C5:K5"/>
    <mergeCell ref="L5:R5"/>
    <mergeCell ref="S5:AC5"/>
    <mergeCell ref="Z6:AA6"/>
    <mergeCell ref="AB6:AC6"/>
    <mergeCell ref="AD6:AD7"/>
    <mergeCell ref="AE6:AE7"/>
    <mergeCell ref="AF6:AF7"/>
    <mergeCell ref="AH6:AI6"/>
    <mergeCell ref="AJ6:AK6"/>
  </mergeCells>
  <pageMargins left="0.45" right="0.45" top="0.54" bottom="0.5" header="0.3" footer="0.3"/>
  <pageSetup paperSize="9" scale="39" firstPageNumber="80" orientation="landscape" useFirstPageNumber="1" verticalDpi="0" r:id="rId1"/>
  <headerFooter>
    <oddFooter>&amp;C&amp;P</oddFooter>
  </headerFooter>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0021D-8AE1-491D-9845-2A30BE1A0718}">
  <dimension ref="A1:BP176"/>
  <sheetViews>
    <sheetView zoomScale="80" zoomScaleNormal="80" workbookViewId="0">
      <pane xSplit="2" ySplit="8" topLeftCell="Q163" activePane="bottomRight" state="frozen"/>
      <selection pane="topRight" activeCell="C1" sqref="C1"/>
      <selection pane="bottomLeft" activeCell="A9" sqref="A9"/>
      <selection pane="bottomRight" activeCell="A159" sqref="A159:XFD169"/>
    </sheetView>
  </sheetViews>
  <sheetFormatPr defaultRowHeight="15.75" x14ac:dyDescent="0.2"/>
  <cols>
    <col min="1" max="1" width="6.7109375" style="1265" customWidth="1"/>
    <col min="2" max="2" width="30.85546875" style="1266" customWidth="1"/>
    <col min="3" max="3" width="14.5703125" style="1267" customWidth="1"/>
    <col min="4" max="9" width="7.5703125" style="1285" hidden="1" customWidth="1"/>
    <col min="10" max="10" width="11.5703125" style="1285" customWidth="1"/>
    <col min="11" max="11" width="13.7109375" style="1285" customWidth="1"/>
    <col min="12" max="12" width="15.85546875" style="1286" customWidth="1"/>
    <col min="13" max="13" width="12.28515625" style="1285" customWidth="1"/>
    <col min="14" max="14" width="11.85546875" style="1285" customWidth="1"/>
    <col min="15" max="15" width="12.42578125" style="1285" customWidth="1"/>
    <col min="16" max="16" width="17" style="2560" customWidth="1"/>
    <col min="17" max="17" width="8.42578125" style="2560" customWidth="1"/>
    <col min="18" max="18" width="16.140625" style="2560" customWidth="1"/>
    <col min="19" max="19" width="13.140625" style="1286" customWidth="1"/>
    <col min="20" max="23" width="7.5703125" style="2560" customWidth="1"/>
    <col min="24" max="24" width="5.85546875" style="2560" customWidth="1"/>
    <col min="25" max="25" width="6.28515625" style="2560" customWidth="1"/>
    <col min="26" max="26" width="10.5703125" style="1285" customWidth="1"/>
    <col min="27" max="27" width="10.7109375" style="1285" customWidth="1"/>
    <col min="28" max="28" width="9.85546875" style="1285" customWidth="1"/>
    <col min="29" max="29" width="15.140625" style="1285" customWidth="1"/>
    <col min="30" max="30" width="13" style="1286" customWidth="1"/>
    <col min="31" max="31" width="8.5703125" style="1285" customWidth="1"/>
    <col min="32" max="32" width="14.42578125" style="1285" customWidth="1"/>
    <col min="33" max="33" width="8.7109375" style="1286" customWidth="1"/>
    <col min="34" max="39" width="7.5703125" style="1285" hidden="1" customWidth="1"/>
    <col min="40" max="40" width="9" style="1285" customWidth="1"/>
    <col min="41" max="41" width="9.28515625" style="1285" customWidth="1"/>
    <col min="42" max="42" width="9.140625" style="1285" customWidth="1"/>
    <col min="43" max="43" width="12.5703125" style="1285" customWidth="1"/>
    <col min="44" max="44" width="11.85546875" style="1285" customWidth="1"/>
    <col min="45" max="45" width="11.85546875" style="1285" hidden="1" customWidth="1"/>
    <col min="46" max="68" width="9.140625" style="1271"/>
    <col min="69" max="255" width="9.140625" style="1272"/>
    <col min="256" max="256" width="6.7109375" style="1272" customWidth="1"/>
    <col min="257" max="257" width="30.85546875" style="1272" customWidth="1"/>
    <col min="258" max="270" width="7.5703125" style="1272" customWidth="1"/>
    <col min="271" max="271" width="8.42578125" style="1272" customWidth="1"/>
    <col min="272" max="299" width="7.5703125" style="1272" customWidth="1"/>
    <col min="300" max="300" width="0" style="1272" hidden="1" customWidth="1"/>
    <col min="301" max="511" width="9.140625" style="1272"/>
    <col min="512" max="512" width="6.7109375" style="1272" customWidth="1"/>
    <col min="513" max="513" width="30.85546875" style="1272" customWidth="1"/>
    <col min="514" max="526" width="7.5703125" style="1272" customWidth="1"/>
    <col min="527" max="527" width="8.42578125" style="1272" customWidth="1"/>
    <col min="528" max="555" width="7.5703125" style="1272" customWidth="1"/>
    <col min="556" max="556" width="0" style="1272" hidden="1" customWidth="1"/>
    <col min="557" max="767" width="9.140625" style="1272"/>
    <col min="768" max="768" width="6.7109375" style="1272" customWidth="1"/>
    <col min="769" max="769" width="30.85546875" style="1272" customWidth="1"/>
    <col min="770" max="782" width="7.5703125" style="1272" customWidth="1"/>
    <col min="783" max="783" width="8.42578125" style="1272" customWidth="1"/>
    <col min="784" max="811" width="7.5703125" style="1272" customWidth="1"/>
    <col min="812" max="812" width="0" style="1272" hidden="1" customWidth="1"/>
    <col min="813" max="1023" width="9.140625" style="1272"/>
    <col min="1024" max="1024" width="6.7109375" style="1272" customWidth="1"/>
    <col min="1025" max="1025" width="30.85546875" style="1272" customWidth="1"/>
    <col min="1026" max="1038" width="7.5703125" style="1272" customWidth="1"/>
    <col min="1039" max="1039" width="8.42578125" style="1272" customWidth="1"/>
    <col min="1040" max="1067" width="7.5703125" style="1272" customWidth="1"/>
    <col min="1068" max="1068" width="0" style="1272" hidden="1" customWidth="1"/>
    <col min="1069" max="1279" width="9.140625" style="1272"/>
    <col min="1280" max="1280" width="6.7109375" style="1272" customWidth="1"/>
    <col min="1281" max="1281" width="30.85546875" style="1272" customWidth="1"/>
    <col min="1282" max="1294" width="7.5703125" style="1272" customWidth="1"/>
    <col min="1295" max="1295" width="8.42578125" style="1272" customWidth="1"/>
    <col min="1296" max="1323" width="7.5703125" style="1272" customWidth="1"/>
    <col min="1324" max="1324" width="0" style="1272" hidden="1" customWidth="1"/>
    <col min="1325" max="1535" width="9.140625" style="1272"/>
    <col min="1536" max="1536" width="6.7109375" style="1272" customWidth="1"/>
    <col min="1537" max="1537" width="30.85546875" style="1272" customWidth="1"/>
    <col min="1538" max="1550" width="7.5703125" style="1272" customWidth="1"/>
    <col min="1551" max="1551" width="8.42578125" style="1272" customWidth="1"/>
    <col min="1552" max="1579" width="7.5703125" style="1272" customWidth="1"/>
    <col min="1580" max="1580" width="0" style="1272" hidden="1" customWidth="1"/>
    <col min="1581" max="1791" width="9.140625" style="1272"/>
    <col min="1792" max="1792" width="6.7109375" style="1272" customWidth="1"/>
    <col min="1793" max="1793" width="30.85546875" style="1272" customWidth="1"/>
    <col min="1794" max="1806" width="7.5703125" style="1272" customWidth="1"/>
    <col min="1807" max="1807" width="8.42578125" style="1272" customWidth="1"/>
    <col min="1808" max="1835" width="7.5703125" style="1272" customWidth="1"/>
    <col min="1836" max="1836" width="0" style="1272" hidden="1" customWidth="1"/>
    <col min="1837" max="2047" width="9.140625" style="1272"/>
    <col min="2048" max="2048" width="6.7109375" style="1272" customWidth="1"/>
    <col min="2049" max="2049" width="30.85546875" style="1272" customWidth="1"/>
    <col min="2050" max="2062" width="7.5703125" style="1272" customWidth="1"/>
    <col min="2063" max="2063" width="8.42578125" style="1272" customWidth="1"/>
    <col min="2064" max="2091" width="7.5703125" style="1272" customWidth="1"/>
    <col min="2092" max="2092" width="0" style="1272" hidden="1" customWidth="1"/>
    <col min="2093" max="2303" width="9.140625" style="1272"/>
    <col min="2304" max="2304" width="6.7109375" style="1272" customWidth="1"/>
    <col min="2305" max="2305" width="30.85546875" style="1272" customWidth="1"/>
    <col min="2306" max="2318" width="7.5703125" style="1272" customWidth="1"/>
    <col min="2319" max="2319" width="8.42578125" style="1272" customWidth="1"/>
    <col min="2320" max="2347" width="7.5703125" style="1272" customWidth="1"/>
    <col min="2348" max="2348" width="0" style="1272" hidden="1" customWidth="1"/>
    <col min="2349" max="2559" width="9.140625" style="1272"/>
    <col min="2560" max="2560" width="6.7109375" style="1272" customWidth="1"/>
    <col min="2561" max="2561" width="30.85546875" style="1272" customWidth="1"/>
    <col min="2562" max="2574" width="7.5703125" style="1272" customWidth="1"/>
    <col min="2575" max="2575" width="8.42578125" style="1272" customWidth="1"/>
    <col min="2576" max="2603" width="7.5703125" style="1272" customWidth="1"/>
    <col min="2604" max="2604" width="0" style="1272" hidden="1" customWidth="1"/>
    <col min="2605" max="2815" width="9.140625" style="1272"/>
    <col min="2816" max="2816" width="6.7109375" style="1272" customWidth="1"/>
    <col min="2817" max="2817" width="30.85546875" style="1272" customWidth="1"/>
    <col min="2818" max="2830" width="7.5703125" style="1272" customWidth="1"/>
    <col min="2831" max="2831" width="8.42578125" style="1272" customWidth="1"/>
    <col min="2832" max="2859" width="7.5703125" style="1272" customWidth="1"/>
    <col min="2860" max="2860" width="0" style="1272" hidden="1" customWidth="1"/>
    <col min="2861" max="3071" width="9.140625" style="1272"/>
    <col min="3072" max="3072" width="6.7109375" style="1272" customWidth="1"/>
    <col min="3073" max="3073" width="30.85546875" style="1272" customWidth="1"/>
    <col min="3074" max="3086" width="7.5703125" style="1272" customWidth="1"/>
    <col min="3087" max="3087" width="8.42578125" style="1272" customWidth="1"/>
    <col min="3088" max="3115" width="7.5703125" style="1272" customWidth="1"/>
    <col min="3116" max="3116" width="0" style="1272" hidden="1" customWidth="1"/>
    <col min="3117" max="3327" width="9.140625" style="1272"/>
    <col min="3328" max="3328" width="6.7109375" style="1272" customWidth="1"/>
    <col min="3329" max="3329" width="30.85546875" style="1272" customWidth="1"/>
    <col min="3330" max="3342" width="7.5703125" style="1272" customWidth="1"/>
    <col min="3343" max="3343" width="8.42578125" style="1272" customWidth="1"/>
    <col min="3344" max="3371" width="7.5703125" style="1272" customWidth="1"/>
    <col min="3372" max="3372" width="0" style="1272" hidden="1" customWidth="1"/>
    <col min="3373" max="3583" width="9.140625" style="1272"/>
    <col min="3584" max="3584" width="6.7109375" style="1272" customWidth="1"/>
    <col min="3585" max="3585" width="30.85546875" style="1272" customWidth="1"/>
    <col min="3586" max="3598" width="7.5703125" style="1272" customWidth="1"/>
    <col min="3599" max="3599" width="8.42578125" style="1272" customWidth="1"/>
    <col min="3600" max="3627" width="7.5703125" style="1272" customWidth="1"/>
    <col min="3628" max="3628" width="0" style="1272" hidden="1" customWidth="1"/>
    <col min="3629" max="3839" width="9.140625" style="1272"/>
    <col min="3840" max="3840" width="6.7109375" style="1272" customWidth="1"/>
    <col min="3841" max="3841" width="30.85546875" style="1272" customWidth="1"/>
    <col min="3842" max="3854" width="7.5703125" style="1272" customWidth="1"/>
    <col min="3855" max="3855" width="8.42578125" style="1272" customWidth="1"/>
    <col min="3856" max="3883" width="7.5703125" style="1272" customWidth="1"/>
    <col min="3884" max="3884" width="0" style="1272" hidden="1" customWidth="1"/>
    <col min="3885" max="4095" width="9.140625" style="1272"/>
    <col min="4096" max="4096" width="6.7109375" style="1272" customWidth="1"/>
    <col min="4097" max="4097" width="30.85546875" style="1272" customWidth="1"/>
    <col min="4098" max="4110" width="7.5703125" style="1272" customWidth="1"/>
    <col min="4111" max="4111" width="8.42578125" style="1272" customWidth="1"/>
    <col min="4112" max="4139" width="7.5703125" style="1272" customWidth="1"/>
    <col min="4140" max="4140" width="0" style="1272" hidden="1" customWidth="1"/>
    <col min="4141" max="4351" width="9.140625" style="1272"/>
    <col min="4352" max="4352" width="6.7109375" style="1272" customWidth="1"/>
    <col min="4353" max="4353" width="30.85546875" style="1272" customWidth="1"/>
    <col min="4354" max="4366" width="7.5703125" style="1272" customWidth="1"/>
    <col min="4367" max="4367" width="8.42578125" style="1272" customWidth="1"/>
    <col min="4368" max="4395" width="7.5703125" style="1272" customWidth="1"/>
    <col min="4396" max="4396" width="0" style="1272" hidden="1" customWidth="1"/>
    <col min="4397" max="4607" width="9.140625" style="1272"/>
    <col min="4608" max="4608" width="6.7109375" style="1272" customWidth="1"/>
    <col min="4609" max="4609" width="30.85546875" style="1272" customWidth="1"/>
    <col min="4610" max="4622" width="7.5703125" style="1272" customWidth="1"/>
    <col min="4623" max="4623" width="8.42578125" style="1272" customWidth="1"/>
    <col min="4624" max="4651" width="7.5703125" style="1272" customWidth="1"/>
    <col min="4652" max="4652" width="0" style="1272" hidden="1" customWidth="1"/>
    <col min="4653" max="4863" width="9.140625" style="1272"/>
    <col min="4864" max="4864" width="6.7109375" style="1272" customWidth="1"/>
    <col min="4865" max="4865" width="30.85546875" style="1272" customWidth="1"/>
    <col min="4866" max="4878" width="7.5703125" style="1272" customWidth="1"/>
    <col min="4879" max="4879" width="8.42578125" style="1272" customWidth="1"/>
    <col min="4880" max="4907" width="7.5703125" style="1272" customWidth="1"/>
    <col min="4908" max="4908" width="0" style="1272" hidden="1" customWidth="1"/>
    <col min="4909" max="5119" width="9.140625" style="1272"/>
    <col min="5120" max="5120" width="6.7109375" style="1272" customWidth="1"/>
    <col min="5121" max="5121" width="30.85546875" style="1272" customWidth="1"/>
    <col min="5122" max="5134" width="7.5703125" style="1272" customWidth="1"/>
    <col min="5135" max="5135" width="8.42578125" style="1272" customWidth="1"/>
    <col min="5136" max="5163" width="7.5703125" style="1272" customWidth="1"/>
    <col min="5164" max="5164" width="0" style="1272" hidden="1" customWidth="1"/>
    <col min="5165" max="5375" width="9.140625" style="1272"/>
    <col min="5376" max="5376" width="6.7109375" style="1272" customWidth="1"/>
    <col min="5377" max="5377" width="30.85546875" style="1272" customWidth="1"/>
    <col min="5378" max="5390" width="7.5703125" style="1272" customWidth="1"/>
    <col min="5391" max="5391" width="8.42578125" style="1272" customWidth="1"/>
    <col min="5392" max="5419" width="7.5703125" style="1272" customWidth="1"/>
    <col min="5420" max="5420" width="0" style="1272" hidden="1" customWidth="1"/>
    <col min="5421" max="5631" width="9.140625" style="1272"/>
    <col min="5632" max="5632" width="6.7109375" style="1272" customWidth="1"/>
    <col min="5633" max="5633" width="30.85546875" style="1272" customWidth="1"/>
    <col min="5634" max="5646" width="7.5703125" style="1272" customWidth="1"/>
    <col min="5647" max="5647" width="8.42578125" style="1272" customWidth="1"/>
    <col min="5648" max="5675" width="7.5703125" style="1272" customWidth="1"/>
    <col min="5676" max="5676" width="0" style="1272" hidden="1" customWidth="1"/>
    <col min="5677" max="5887" width="9.140625" style="1272"/>
    <col min="5888" max="5888" width="6.7109375" style="1272" customWidth="1"/>
    <col min="5889" max="5889" width="30.85546875" style="1272" customWidth="1"/>
    <col min="5890" max="5902" width="7.5703125" style="1272" customWidth="1"/>
    <col min="5903" max="5903" width="8.42578125" style="1272" customWidth="1"/>
    <col min="5904" max="5931" width="7.5703125" style="1272" customWidth="1"/>
    <col min="5932" max="5932" width="0" style="1272" hidden="1" customWidth="1"/>
    <col min="5933" max="6143" width="9.140625" style="1272"/>
    <col min="6144" max="6144" width="6.7109375" style="1272" customWidth="1"/>
    <col min="6145" max="6145" width="30.85546875" style="1272" customWidth="1"/>
    <col min="6146" max="6158" width="7.5703125" style="1272" customWidth="1"/>
    <col min="6159" max="6159" width="8.42578125" style="1272" customWidth="1"/>
    <col min="6160" max="6187" width="7.5703125" style="1272" customWidth="1"/>
    <col min="6188" max="6188" width="0" style="1272" hidden="1" customWidth="1"/>
    <col min="6189" max="6399" width="9.140625" style="1272"/>
    <col min="6400" max="6400" width="6.7109375" style="1272" customWidth="1"/>
    <col min="6401" max="6401" width="30.85546875" style="1272" customWidth="1"/>
    <col min="6402" max="6414" width="7.5703125" style="1272" customWidth="1"/>
    <col min="6415" max="6415" width="8.42578125" style="1272" customWidth="1"/>
    <col min="6416" max="6443" width="7.5703125" style="1272" customWidth="1"/>
    <col min="6444" max="6444" width="0" style="1272" hidden="1" customWidth="1"/>
    <col min="6445" max="6655" width="9.140625" style="1272"/>
    <col min="6656" max="6656" width="6.7109375" style="1272" customWidth="1"/>
    <col min="6657" max="6657" width="30.85546875" style="1272" customWidth="1"/>
    <col min="6658" max="6670" width="7.5703125" style="1272" customWidth="1"/>
    <col min="6671" max="6671" width="8.42578125" style="1272" customWidth="1"/>
    <col min="6672" max="6699" width="7.5703125" style="1272" customWidth="1"/>
    <col min="6700" max="6700" width="0" style="1272" hidden="1" customWidth="1"/>
    <col min="6701" max="6911" width="9.140625" style="1272"/>
    <col min="6912" max="6912" width="6.7109375" style="1272" customWidth="1"/>
    <col min="6913" max="6913" width="30.85546875" style="1272" customWidth="1"/>
    <col min="6914" max="6926" width="7.5703125" style="1272" customWidth="1"/>
    <col min="6927" max="6927" width="8.42578125" style="1272" customWidth="1"/>
    <col min="6928" max="6955" width="7.5703125" style="1272" customWidth="1"/>
    <col min="6956" max="6956" width="0" style="1272" hidden="1" customWidth="1"/>
    <col min="6957" max="7167" width="9.140625" style="1272"/>
    <col min="7168" max="7168" width="6.7109375" style="1272" customWidth="1"/>
    <col min="7169" max="7169" width="30.85546875" style="1272" customWidth="1"/>
    <col min="7170" max="7182" width="7.5703125" style="1272" customWidth="1"/>
    <col min="7183" max="7183" width="8.42578125" style="1272" customWidth="1"/>
    <col min="7184" max="7211" width="7.5703125" style="1272" customWidth="1"/>
    <col min="7212" max="7212" width="0" style="1272" hidden="1" customWidth="1"/>
    <col min="7213" max="7423" width="9.140625" style="1272"/>
    <col min="7424" max="7424" width="6.7109375" style="1272" customWidth="1"/>
    <col min="7425" max="7425" width="30.85546875" style="1272" customWidth="1"/>
    <col min="7426" max="7438" width="7.5703125" style="1272" customWidth="1"/>
    <col min="7439" max="7439" width="8.42578125" style="1272" customWidth="1"/>
    <col min="7440" max="7467" width="7.5703125" style="1272" customWidth="1"/>
    <col min="7468" max="7468" width="0" style="1272" hidden="1" customWidth="1"/>
    <col min="7469" max="7679" width="9.140625" style="1272"/>
    <col min="7680" max="7680" width="6.7109375" style="1272" customWidth="1"/>
    <col min="7681" max="7681" width="30.85546875" style="1272" customWidth="1"/>
    <col min="7682" max="7694" width="7.5703125" style="1272" customWidth="1"/>
    <col min="7695" max="7695" width="8.42578125" style="1272" customWidth="1"/>
    <col min="7696" max="7723" width="7.5703125" style="1272" customWidth="1"/>
    <col min="7724" max="7724" width="0" style="1272" hidden="1" customWidth="1"/>
    <col min="7725" max="7935" width="9.140625" style="1272"/>
    <col min="7936" max="7936" width="6.7109375" style="1272" customWidth="1"/>
    <col min="7937" max="7937" width="30.85546875" style="1272" customWidth="1"/>
    <col min="7938" max="7950" width="7.5703125" style="1272" customWidth="1"/>
    <col min="7951" max="7951" width="8.42578125" style="1272" customWidth="1"/>
    <col min="7952" max="7979" width="7.5703125" style="1272" customWidth="1"/>
    <col min="7980" max="7980" width="0" style="1272" hidden="1" customWidth="1"/>
    <col min="7981" max="8191" width="9.140625" style="1272"/>
    <col min="8192" max="8192" width="6.7109375" style="1272" customWidth="1"/>
    <col min="8193" max="8193" width="30.85546875" style="1272" customWidth="1"/>
    <col min="8194" max="8206" width="7.5703125" style="1272" customWidth="1"/>
    <col min="8207" max="8207" width="8.42578125" style="1272" customWidth="1"/>
    <col min="8208" max="8235" width="7.5703125" style="1272" customWidth="1"/>
    <col min="8236" max="8236" width="0" style="1272" hidden="1" customWidth="1"/>
    <col min="8237" max="8447" width="9.140625" style="1272"/>
    <col min="8448" max="8448" width="6.7109375" style="1272" customWidth="1"/>
    <col min="8449" max="8449" width="30.85546875" style="1272" customWidth="1"/>
    <col min="8450" max="8462" width="7.5703125" style="1272" customWidth="1"/>
    <col min="8463" max="8463" width="8.42578125" style="1272" customWidth="1"/>
    <col min="8464" max="8491" width="7.5703125" style="1272" customWidth="1"/>
    <col min="8492" max="8492" width="0" style="1272" hidden="1" customWidth="1"/>
    <col min="8493" max="8703" width="9.140625" style="1272"/>
    <col min="8704" max="8704" width="6.7109375" style="1272" customWidth="1"/>
    <col min="8705" max="8705" width="30.85546875" style="1272" customWidth="1"/>
    <col min="8706" max="8718" width="7.5703125" style="1272" customWidth="1"/>
    <col min="8719" max="8719" width="8.42578125" style="1272" customWidth="1"/>
    <col min="8720" max="8747" width="7.5703125" style="1272" customWidth="1"/>
    <col min="8748" max="8748" width="0" style="1272" hidden="1" customWidth="1"/>
    <col min="8749" max="8959" width="9.140625" style="1272"/>
    <col min="8960" max="8960" width="6.7109375" style="1272" customWidth="1"/>
    <col min="8961" max="8961" width="30.85546875" style="1272" customWidth="1"/>
    <col min="8962" max="8974" width="7.5703125" style="1272" customWidth="1"/>
    <col min="8975" max="8975" width="8.42578125" style="1272" customWidth="1"/>
    <col min="8976" max="9003" width="7.5703125" style="1272" customWidth="1"/>
    <col min="9004" max="9004" width="0" style="1272" hidden="1" customWidth="1"/>
    <col min="9005" max="9215" width="9.140625" style="1272"/>
    <col min="9216" max="9216" width="6.7109375" style="1272" customWidth="1"/>
    <col min="9217" max="9217" width="30.85546875" style="1272" customWidth="1"/>
    <col min="9218" max="9230" width="7.5703125" style="1272" customWidth="1"/>
    <col min="9231" max="9231" width="8.42578125" style="1272" customWidth="1"/>
    <col min="9232" max="9259" width="7.5703125" style="1272" customWidth="1"/>
    <col min="9260" max="9260" width="0" style="1272" hidden="1" customWidth="1"/>
    <col min="9261" max="9471" width="9.140625" style="1272"/>
    <col min="9472" max="9472" width="6.7109375" style="1272" customWidth="1"/>
    <col min="9473" max="9473" width="30.85546875" style="1272" customWidth="1"/>
    <col min="9474" max="9486" width="7.5703125" style="1272" customWidth="1"/>
    <col min="9487" max="9487" width="8.42578125" style="1272" customWidth="1"/>
    <col min="9488" max="9515" width="7.5703125" style="1272" customWidth="1"/>
    <col min="9516" max="9516" width="0" style="1272" hidden="1" customWidth="1"/>
    <col min="9517" max="9727" width="9.140625" style="1272"/>
    <col min="9728" max="9728" width="6.7109375" style="1272" customWidth="1"/>
    <col min="9729" max="9729" width="30.85546875" style="1272" customWidth="1"/>
    <col min="9730" max="9742" width="7.5703125" style="1272" customWidth="1"/>
    <col min="9743" max="9743" width="8.42578125" style="1272" customWidth="1"/>
    <col min="9744" max="9771" width="7.5703125" style="1272" customWidth="1"/>
    <col min="9772" max="9772" width="0" style="1272" hidden="1" customWidth="1"/>
    <col min="9773" max="9983" width="9.140625" style="1272"/>
    <col min="9984" max="9984" width="6.7109375" style="1272" customWidth="1"/>
    <col min="9985" max="9985" width="30.85546875" style="1272" customWidth="1"/>
    <col min="9986" max="9998" width="7.5703125" style="1272" customWidth="1"/>
    <col min="9999" max="9999" width="8.42578125" style="1272" customWidth="1"/>
    <col min="10000" max="10027" width="7.5703125" style="1272" customWidth="1"/>
    <col min="10028" max="10028" width="0" style="1272" hidden="1" customWidth="1"/>
    <col min="10029" max="10239" width="9.140625" style="1272"/>
    <col min="10240" max="10240" width="6.7109375" style="1272" customWidth="1"/>
    <col min="10241" max="10241" width="30.85546875" style="1272" customWidth="1"/>
    <col min="10242" max="10254" width="7.5703125" style="1272" customWidth="1"/>
    <col min="10255" max="10255" width="8.42578125" style="1272" customWidth="1"/>
    <col min="10256" max="10283" width="7.5703125" style="1272" customWidth="1"/>
    <col min="10284" max="10284" width="0" style="1272" hidden="1" customWidth="1"/>
    <col min="10285" max="10495" width="9.140625" style="1272"/>
    <col min="10496" max="10496" width="6.7109375" style="1272" customWidth="1"/>
    <col min="10497" max="10497" width="30.85546875" style="1272" customWidth="1"/>
    <col min="10498" max="10510" width="7.5703125" style="1272" customWidth="1"/>
    <col min="10511" max="10511" width="8.42578125" style="1272" customWidth="1"/>
    <col min="10512" max="10539" width="7.5703125" style="1272" customWidth="1"/>
    <col min="10540" max="10540" width="0" style="1272" hidden="1" customWidth="1"/>
    <col min="10541" max="10751" width="9.140625" style="1272"/>
    <col min="10752" max="10752" width="6.7109375" style="1272" customWidth="1"/>
    <col min="10753" max="10753" width="30.85546875" style="1272" customWidth="1"/>
    <col min="10754" max="10766" width="7.5703125" style="1272" customWidth="1"/>
    <col min="10767" max="10767" width="8.42578125" style="1272" customWidth="1"/>
    <col min="10768" max="10795" width="7.5703125" style="1272" customWidth="1"/>
    <col min="10796" max="10796" width="0" style="1272" hidden="1" customWidth="1"/>
    <col min="10797" max="11007" width="9.140625" style="1272"/>
    <col min="11008" max="11008" width="6.7109375" style="1272" customWidth="1"/>
    <col min="11009" max="11009" width="30.85546875" style="1272" customWidth="1"/>
    <col min="11010" max="11022" width="7.5703125" style="1272" customWidth="1"/>
    <col min="11023" max="11023" width="8.42578125" style="1272" customWidth="1"/>
    <col min="11024" max="11051" width="7.5703125" style="1272" customWidth="1"/>
    <col min="11052" max="11052" width="0" style="1272" hidden="1" customWidth="1"/>
    <col min="11053" max="11263" width="9.140625" style="1272"/>
    <col min="11264" max="11264" width="6.7109375" style="1272" customWidth="1"/>
    <col min="11265" max="11265" width="30.85546875" style="1272" customWidth="1"/>
    <col min="11266" max="11278" width="7.5703125" style="1272" customWidth="1"/>
    <col min="11279" max="11279" width="8.42578125" style="1272" customWidth="1"/>
    <col min="11280" max="11307" width="7.5703125" style="1272" customWidth="1"/>
    <col min="11308" max="11308" width="0" style="1272" hidden="1" customWidth="1"/>
    <col min="11309" max="11519" width="9.140625" style="1272"/>
    <col min="11520" max="11520" width="6.7109375" style="1272" customWidth="1"/>
    <col min="11521" max="11521" width="30.85546875" style="1272" customWidth="1"/>
    <col min="11522" max="11534" width="7.5703125" style="1272" customWidth="1"/>
    <col min="11535" max="11535" width="8.42578125" style="1272" customWidth="1"/>
    <col min="11536" max="11563" width="7.5703125" style="1272" customWidth="1"/>
    <col min="11564" max="11564" width="0" style="1272" hidden="1" customWidth="1"/>
    <col min="11565" max="11775" width="9.140625" style="1272"/>
    <col min="11776" max="11776" width="6.7109375" style="1272" customWidth="1"/>
    <col min="11777" max="11777" width="30.85546875" style="1272" customWidth="1"/>
    <col min="11778" max="11790" width="7.5703125" style="1272" customWidth="1"/>
    <col min="11791" max="11791" width="8.42578125" style="1272" customWidth="1"/>
    <col min="11792" max="11819" width="7.5703125" style="1272" customWidth="1"/>
    <col min="11820" max="11820" width="0" style="1272" hidden="1" customWidth="1"/>
    <col min="11821" max="12031" width="9.140625" style="1272"/>
    <col min="12032" max="12032" width="6.7109375" style="1272" customWidth="1"/>
    <col min="12033" max="12033" width="30.85546875" style="1272" customWidth="1"/>
    <col min="12034" max="12046" width="7.5703125" style="1272" customWidth="1"/>
    <col min="12047" max="12047" width="8.42578125" style="1272" customWidth="1"/>
    <col min="12048" max="12075" width="7.5703125" style="1272" customWidth="1"/>
    <col min="12076" max="12076" width="0" style="1272" hidden="1" customWidth="1"/>
    <col min="12077" max="12287" width="9.140625" style="1272"/>
    <col min="12288" max="12288" width="6.7109375" style="1272" customWidth="1"/>
    <col min="12289" max="12289" width="30.85546875" style="1272" customWidth="1"/>
    <col min="12290" max="12302" width="7.5703125" style="1272" customWidth="1"/>
    <col min="12303" max="12303" width="8.42578125" style="1272" customWidth="1"/>
    <col min="12304" max="12331" width="7.5703125" style="1272" customWidth="1"/>
    <col min="12332" max="12332" width="0" style="1272" hidden="1" customWidth="1"/>
    <col min="12333" max="12543" width="9.140625" style="1272"/>
    <col min="12544" max="12544" width="6.7109375" style="1272" customWidth="1"/>
    <col min="12545" max="12545" width="30.85546875" style="1272" customWidth="1"/>
    <col min="12546" max="12558" width="7.5703125" style="1272" customWidth="1"/>
    <col min="12559" max="12559" width="8.42578125" style="1272" customWidth="1"/>
    <col min="12560" max="12587" width="7.5703125" style="1272" customWidth="1"/>
    <col min="12588" max="12588" width="0" style="1272" hidden="1" customWidth="1"/>
    <col min="12589" max="12799" width="9.140625" style="1272"/>
    <col min="12800" max="12800" width="6.7109375" style="1272" customWidth="1"/>
    <col min="12801" max="12801" width="30.85546875" style="1272" customWidth="1"/>
    <col min="12802" max="12814" width="7.5703125" style="1272" customWidth="1"/>
    <col min="12815" max="12815" width="8.42578125" style="1272" customWidth="1"/>
    <col min="12816" max="12843" width="7.5703125" style="1272" customWidth="1"/>
    <col min="12844" max="12844" width="0" style="1272" hidden="1" customWidth="1"/>
    <col min="12845" max="13055" width="9.140625" style="1272"/>
    <col min="13056" max="13056" width="6.7109375" style="1272" customWidth="1"/>
    <col min="13057" max="13057" width="30.85546875" style="1272" customWidth="1"/>
    <col min="13058" max="13070" width="7.5703125" style="1272" customWidth="1"/>
    <col min="13071" max="13071" width="8.42578125" style="1272" customWidth="1"/>
    <col min="13072" max="13099" width="7.5703125" style="1272" customWidth="1"/>
    <col min="13100" max="13100" width="0" style="1272" hidden="1" customWidth="1"/>
    <col min="13101" max="13311" width="9.140625" style="1272"/>
    <col min="13312" max="13312" width="6.7109375" style="1272" customWidth="1"/>
    <col min="13313" max="13313" width="30.85546875" style="1272" customWidth="1"/>
    <col min="13314" max="13326" width="7.5703125" style="1272" customWidth="1"/>
    <col min="13327" max="13327" width="8.42578125" style="1272" customWidth="1"/>
    <col min="13328" max="13355" width="7.5703125" style="1272" customWidth="1"/>
    <col min="13356" max="13356" width="0" style="1272" hidden="1" customWidth="1"/>
    <col min="13357" max="13567" width="9.140625" style="1272"/>
    <col min="13568" max="13568" width="6.7109375" style="1272" customWidth="1"/>
    <col min="13569" max="13569" width="30.85546875" style="1272" customWidth="1"/>
    <col min="13570" max="13582" width="7.5703125" style="1272" customWidth="1"/>
    <col min="13583" max="13583" width="8.42578125" style="1272" customWidth="1"/>
    <col min="13584" max="13611" width="7.5703125" style="1272" customWidth="1"/>
    <col min="13612" max="13612" width="0" style="1272" hidden="1" customWidth="1"/>
    <col min="13613" max="13823" width="9.140625" style="1272"/>
    <col min="13824" max="13824" width="6.7109375" style="1272" customWidth="1"/>
    <col min="13825" max="13825" width="30.85546875" style="1272" customWidth="1"/>
    <col min="13826" max="13838" width="7.5703125" style="1272" customWidth="1"/>
    <col min="13839" max="13839" width="8.42578125" style="1272" customWidth="1"/>
    <col min="13840" max="13867" width="7.5703125" style="1272" customWidth="1"/>
    <col min="13868" max="13868" width="0" style="1272" hidden="1" customWidth="1"/>
    <col min="13869" max="14079" width="9.140625" style="1272"/>
    <col min="14080" max="14080" width="6.7109375" style="1272" customWidth="1"/>
    <col min="14081" max="14081" width="30.85546875" style="1272" customWidth="1"/>
    <col min="14082" max="14094" width="7.5703125" style="1272" customWidth="1"/>
    <col min="14095" max="14095" width="8.42578125" style="1272" customWidth="1"/>
    <col min="14096" max="14123" width="7.5703125" style="1272" customWidth="1"/>
    <col min="14124" max="14124" width="0" style="1272" hidden="1" customWidth="1"/>
    <col min="14125" max="14335" width="9.140625" style="1272"/>
    <col min="14336" max="14336" width="6.7109375" style="1272" customWidth="1"/>
    <col min="14337" max="14337" width="30.85546875" style="1272" customWidth="1"/>
    <col min="14338" max="14350" width="7.5703125" style="1272" customWidth="1"/>
    <col min="14351" max="14351" width="8.42578125" style="1272" customWidth="1"/>
    <col min="14352" max="14379" width="7.5703125" style="1272" customWidth="1"/>
    <col min="14380" max="14380" width="0" style="1272" hidden="1" customWidth="1"/>
    <col min="14381" max="14591" width="9.140625" style="1272"/>
    <col min="14592" max="14592" width="6.7109375" style="1272" customWidth="1"/>
    <col min="14593" max="14593" width="30.85546875" style="1272" customWidth="1"/>
    <col min="14594" max="14606" width="7.5703125" style="1272" customWidth="1"/>
    <col min="14607" max="14607" width="8.42578125" style="1272" customWidth="1"/>
    <col min="14608" max="14635" width="7.5703125" style="1272" customWidth="1"/>
    <col min="14636" max="14636" width="0" style="1272" hidden="1" customWidth="1"/>
    <col min="14637" max="14847" width="9.140625" style="1272"/>
    <col min="14848" max="14848" width="6.7109375" style="1272" customWidth="1"/>
    <col min="14849" max="14849" width="30.85546875" style="1272" customWidth="1"/>
    <col min="14850" max="14862" width="7.5703125" style="1272" customWidth="1"/>
    <col min="14863" max="14863" width="8.42578125" style="1272" customWidth="1"/>
    <col min="14864" max="14891" width="7.5703125" style="1272" customWidth="1"/>
    <col min="14892" max="14892" width="0" style="1272" hidden="1" customWidth="1"/>
    <col min="14893" max="15103" width="9.140625" style="1272"/>
    <col min="15104" max="15104" width="6.7109375" style="1272" customWidth="1"/>
    <col min="15105" max="15105" width="30.85546875" style="1272" customWidth="1"/>
    <col min="15106" max="15118" width="7.5703125" style="1272" customWidth="1"/>
    <col min="15119" max="15119" width="8.42578125" style="1272" customWidth="1"/>
    <col min="15120" max="15147" width="7.5703125" style="1272" customWidth="1"/>
    <col min="15148" max="15148" width="0" style="1272" hidden="1" customWidth="1"/>
    <col min="15149" max="15359" width="9.140625" style="1272"/>
    <col min="15360" max="15360" width="6.7109375" style="1272" customWidth="1"/>
    <col min="15361" max="15361" width="30.85546875" style="1272" customWidth="1"/>
    <col min="15362" max="15374" width="7.5703125" style="1272" customWidth="1"/>
    <col min="15375" max="15375" width="8.42578125" style="1272" customWidth="1"/>
    <col min="15376" max="15403" width="7.5703125" style="1272" customWidth="1"/>
    <col min="15404" max="15404" width="0" style="1272" hidden="1" customWidth="1"/>
    <col min="15405" max="15615" width="9.140625" style="1272"/>
    <col min="15616" max="15616" width="6.7109375" style="1272" customWidth="1"/>
    <col min="15617" max="15617" width="30.85546875" style="1272" customWidth="1"/>
    <col min="15618" max="15630" width="7.5703125" style="1272" customWidth="1"/>
    <col min="15631" max="15631" width="8.42578125" style="1272" customWidth="1"/>
    <col min="15632" max="15659" width="7.5703125" style="1272" customWidth="1"/>
    <col min="15660" max="15660" width="0" style="1272" hidden="1" customWidth="1"/>
    <col min="15661" max="15871" width="9.140625" style="1272"/>
    <col min="15872" max="15872" width="6.7109375" style="1272" customWidth="1"/>
    <col min="15873" max="15873" width="30.85546875" style="1272" customWidth="1"/>
    <col min="15874" max="15886" width="7.5703125" style="1272" customWidth="1"/>
    <col min="15887" max="15887" width="8.42578125" style="1272" customWidth="1"/>
    <col min="15888" max="15915" width="7.5703125" style="1272" customWidth="1"/>
    <col min="15916" max="15916" width="0" style="1272" hidden="1" customWidth="1"/>
    <col min="15917" max="16127" width="9.140625" style="1272"/>
    <col min="16128" max="16128" width="6.7109375" style="1272" customWidth="1"/>
    <col min="16129" max="16129" width="30.85546875" style="1272" customWidth="1"/>
    <col min="16130" max="16142" width="7.5703125" style="1272" customWidth="1"/>
    <col min="16143" max="16143" width="8.42578125" style="1272" customWidth="1"/>
    <col min="16144" max="16171" width="7.5703125" style="1272" customWidth="1"/>
    <col min="16172" max="16172" width="0" style="1272" hidden="1" customWidth="1"/>
    <col min="16173" max="16384" width="9.140625" style="1272"/>
  </cols>
  <sheetData>
    <row r="1" spans="1:68" s="1264" customFormat="1" ht="20.100000000000001" customHeight="1" x14ac:dyDescent="0.25">
      <c r="A1" s="3391"/>
      <c r="B1" s="3391"/>
      <c r="C1" s="1260"/>
      <c r="D1" s="1261"/>
      <c r="E1" s="1261"/>
      <c r="F1" s="1261"/>
      <c r="G1" s="1261"/>
      <c r="H1" s="1261"/>
      <c r="I1" s="1261"/>
      <c r="J1" s="1261"/>
      <c r="K1" s="1261"/>
      <c r="L1" s="1262"/>
      <c r="M1" s="1261"/>
      <c r="N1" s="2659"/>
      <c r="O1" s="1261"/>
      <c r="P1" s="2557"/>
      <c r="Q1" s="2557"/>
      <c r="R1" s="2557"/>
      <c r="S1" s="1262">
        <f>S4-S10</f>
        <v>-1468462.654000001</v>
      </c>
      <c r="T1" s="2557"/>
      <c r="U1" s="2557"/>
      <c r="V1" s="2557"/>
      <c r="W1" s="2557"/>
      <c r="X1" s="2557"/>
      <c r="Y1" s="2557"/>
      <c r="Z1" s="1261"/>
      <c r="AA1" s="1261"/>
      <c r="AB1" s="1261"/>
      <c r="AC1" s="3392" t="s">
        <v>1096</v>
      </c>
      <c r="AD1" s="3392"/>
      <c r="AE1" s="3392"/>
      <c r="AF1" s="3392"/>
      <c r="AG1" s="3392"/>
      <c r="AH1" s="3392"/>
      <c r="AI1" s="3392"/>
      <c r="AJ1" s="3392"/>
      <c r="AK1" s="3392"/>
      <c r="AL1" s="3392"/>
      <c r="AM1" s="3392"/>
      <c r="AN1" s="3392"/>
      <c r="AO1" s="3392"/>
      <c r="AP1" s="3392"/>
      <c r="AQ1" s="3392"/>
      <c r="AR1" s="3392"/>
      <c r="AS1" s="3392"/>
      <c r="AT1" s="1263"/>
      <c r="AU1" s="1263"/>
      <c r="AV1" s="1263"/>
      <c r="AW1" s="1263"/>
      <c r="AX1" s="1263"/>
      <c r="AY1" s="1263"/>
      <c r="AZ1" s="1263"/>
      <c r="BA1" s="1263"/>
      <c r="BB1" s="1263"/>
      <c r="BC1" s="1263"/>
      <c r="BD1" s="1263"/>
      <c r="BE1" s="1263"/>
      <c r="BF1" s="1263"/>
      <c r="BG1" s="1263"/>
      <c r="BH1" s="1263"/>
      <c r="BI1" s="1263"/>
      <c r="BJ1" s="1263"/>
      <c r="BK1" s="1263"/>
      <c r="BL1" s="1263"/>
      <c r="BM1" s="1263"/>
      <c r="BN1" s="1263"/>
      <c r="BO1" s="1263"/>
      <c r="BP1" s="1263"/>
    </row>
    <row r="2" spans="1:68" s="1264" customFormat="1" ht="18.75" x14ac:dyDescent="0.25">
      <c r="A2" s="3393" t="s">
        <v>1097</v>
      </c>
      <c r="B2" s="3393"/>
      <c r="C2" s="3393"/>
      <c r="D2" s="3393"/>
      <c r="E2" s="3393"/>
      <c r="F2" s="3393"/>
      <c r="G2" s="3393"/>
      <c r="H2" s="3393"/>
      <c r="I2" s="3393"/>
      <c r="J2" s="3393"/>
      <c r="K2" s="3393"/>
      <c r="L2" s="3393"/>
      <c r="M2" s="3393"/>
      <c r="N2" s="3393"/>
      <c r="O2" s="3393"/>
      <c r="P2" s="3393"/>
      <c r="Q2" s="3393"/>
      <c r="R2" s="3393"/>
      <c r="S2" s="3393"/>
      <c r="T2" s="3393"/>
      <c r="U2" s="3393"/>
      <c r="V2" s="3393"/>
      <c r="W2" s="3393"/>
      <c r="X2" s="3393"/>
      <c r="Y2" s="3393"/>
      <c r="Z2" s="3393"/>
      <c r="AA2" s="3393"/>
      <c r="AB2" s="3393"/>
      <c r="AC2" s="3393"/>
      <c r="AD2" s="3393"/>
      <c r="AE2" s="3393"/>
      <c r="AF2" s="3393"/>
      <c r="AG2" s="3393"/>
      <c r="AH2" s="3393"/>
      <c r="AI2" s="3393"/>
      <c r="AJ2" s="3393"/>
      <c r="AK2" s="3393"/>
      <c r="AL2" s="3393"/>
      <c r="AM2" s="3393"/>
      <c r="AN2" s="3393"/>
      <c r="AO2" s="3393"/>
      <c r="AP2" s="3393"/>
      <c r="AQ2" s="3393"/>
      <c r="AR2" s="3393"/>
      <c r="AS2" s="3393"/>
      <c r="AT2" s="1263"/>
      <c r="AU2" s="1263"/>
      <c r="AV2" s="1263"/>
      <c r="AW2" s="1263"/>
      <c r="AX2" s="1263"/>
      <c r="AY2" s="1263"/>
      <c r="AZ2" s="1263"/>
      <c r="BA2" s="1263"/>
      <c r="BB2" s="1263"/>
      <c r="BC2" s="1263"/>
      <c r="BD2" s="1263"/>
      <c r="BE2" s="1263"/>
      <c r="BF2" s="1263"/>
      <c r="BG2" s="1263"/>
      <c r="BH2" s="1263"/>
      <c r="BI2" s="1263"/>
      <c r="BJ2" s="1263"/>
      <c r="BK2" s="1263"/>
      <c r="BL2" s="1263"/>
      <c r="BM2" s="1263"/>
      <c r="BN2" s="1263"/>
      <c r="BO2" s="1263"/>
      <c r="BP2" s="1263"/>
    </row>
    <row r="3" spans="1:68" s="1264" customFormat="1" ht="16.5" x14ac:dyDescent="0.25">
      <c r="A3" s="3394" t="str">
        <f>'MS 04'!A3:F3</f>
        <v>(Kèm theo Quyết định số          /QĐ-UBND ngày          /4/2026 của UBND phường Bắc Kạn)</v>
      </c>
      <c r="B3" s="3394"/>
      <c r="C3" s="3394"/>
      <c r="D3" s="3394"/>
      <c r="E3" s="3394"/>
      <c r="F3" s="3394"/>
      <c r="G3" s="3394"/>
      <c r="H3" s="3394"/>
      <c r="I3" s="3394"/>
      <c r="J3" s="3394"/>
      <c r="K3" s="3394"/>
      <c r="L3" s="3394"/>
      <c r="M3" s="3394"/>
      <c r="N3" s="3394"/>
      <c r="O3" s="3394"/>
      <c r="P3" s="3394"/>
      <c r="Q3" s="3394"/>
      <c r="R3" s="3394"/>
      <c r="S3" s="3394"/>
      <c r="T3" s="3394"/>
      <c r="U3" s="3394"/>
      <c r="V3" s="3394"/>
      <c r="W3" s="3394"/>
      <c r="X3" s="3394"/>
      <c r="Y3" s="3394"/>
      <c r="Z3" s="3394"/>
      <c r="AA3" s="3394"/>
      <c r="AB3" s="3394"/>
      <c r="AC3" s="3394"/>
      <c r="AD3" s="3394"/>
      <c r="AE3" s="3394"/>
      <c r="AF3" s="3394"/>
      <c r="AG3" s="3394"/>
      <c r="AH3" s="3394"/>
      <c r="AI3" s="3394"/>
      <c r="AJ3" s="3394"/>
      <c r="AK3" s="3394"/>
      <c r="AL3" s="3394"/>
      <c r="AM3" s="3394"/>
      <c r="AN3" s="3394"/>
      <c r="AO3" s="3394"/>
      <c r="AP3" s="3394"/>
      <c r="AQ3" s="3394"/>
      <c r="AR3" s="3394"/>
      <c r="AS3" s="3394"/>
      <c r="AT3" s="1263"/>
      <c r="AU3" s="1263"/>
      <c r="AV3" s="1263"/>
      <c r="AW3" s="1263"/>
      <c r="AX3" s="1263"/>
      <c r="AY3" s="1263"/>
      <c r="AZ3" s="1263"/>
      <c r="BA3" s="1263"/>
      <c r="BB3" s="1263"/>
      <c r="BC3" s="1263"/>
      <c r="BD3" s="1263"/>
      <c r="BE3" s="1263"/>
      <c r="BF3" s="1263"/>
      <c r="BG3" s="1263"/>
      <c r="BH3" s="1263"/>
      <c r="BI3" s="1263"/>
      <c r="BJ3" s="1263"/>
      <c r="BK3" s="1263"/>
      <c r="BL3" s="1263"/>
      <c r="BM3" s="1263"/>
      <c r="BN3" s="1263"/>
      <c r="BO3" s="1263"/>
      <c r="BP3" s="1263"/>
    </row>
    <row r="4" spans="1:68" ht="25.5" customHeight="1" x14ac:dyDescent="0.25">
      <c r="D4" s="1268"/>
      <c r="E4" s="1268"/>
      <c r="F4" s="1268"/>
      <c r="G4" s="1268"/>
      <c r="H4" s="1268"/>
      <c r="I4" s="1268"/>
      <c r="J4" s="1268"/>
      <c r="K4" s="2608">
        <v>1098099.145</v>
      </c>
      <c r="L4" s="1269">
        <f>K4-K10</f>
        <v>0</v>
      </c>
      <c r="M4" s="1268"/>
      <c r="N4" s="1268"/>
      <c r="O4" s="1270"/>
      <c r="P4" s="2558">
        <f>P157+P158</f>
        <v>9926000</v>
      </c>
      <c r="Q4" s="2558"/>
      <c r="R4" s="2671">
        <f>R159+SUM(R162:R169)+C159</f>
        <v>9933393.9600000009</v>
      </c>
      <c r="S4" s="1269">
        <f>P4-R4</f>
        <v>-7393.9600000008941</v>
      </c>
      <c r="T4" s="2558"/>
      <c r="U4" s="2558"/>
      <c r="V4" s="2558"/>
      <c r="W4" s="2558"/>
      <c r="X4" s="2558"/>
      <c r="Y4" s="2558"/>
      <c r="Z4" s="1268"/>
      <c r="AA4" s="1268"/>
      <c r="AB4" s="1268"/>
      <c r="AC4" s="1268">
        <f>AC159+SUM(AC162:AC169)</f>
        <v>9699547.0669999998</v>
      </c>
      <c r="AD4" s="1268">
        <f>R161-AF161</f>
        <v>5336811</v>
      </c>
      <c r="AE4" s="1268"/>
      <c r="AF4" s="1268"/>
      <c r="AG4" s="1269"/>
      <c r="AH4" s="1268"/>
      <c r="AI4" s="1268"/>
      <c r="AJ4" s="1268"/>
      <c r="AK4" s="1268"/>
      <c r="AL4" s="1268"/>
      <c r="AM4" s="1268"/>
      <c r="AN4" s="1268"/>
      <c r="AO4" s="1268"/>
      <c r="AP4" s="3395" t="s">
        <v>982</v>
      </c>
      <c r="AQ4" s="3395"/>
      <c r="AR4" s="3395"/>
      <c r="AS4" s="3395"/>
    </row>
    <row r="5" spans="1:68" s="1275" customFormat="1" ht="34.5" customHeight="1" x14ac:dyDescent="0.25">
      <c r="A5" s="3390" t="s">
        <v>0</v>
      </c>
      <c r="B5" s="3390" t="s">
        <v>110</v>
      </c>
      <c r="C5" s="3362" t="s">
        <v>1098</v>
      </c>
      <c r="D5" s="3363"/>
      <c r="E5" s="3363"/>
      <c r="F5" s="3363"/>
      <c r="G5" s="3363"/>
      <c r="H5" s="3363"/>
      <c r="I5" s="3363"/>
      <c r="J5" s="3363"/>
      <c r="K5" s="3364"/>
      <c r="L5" s="3362" t="s">
        <v>1099</v>
      </c>
      <c r="M5" s="3363"/>
      <c r="N5" s="3363"/>
      <c r="O5" s="3363"/>
      <c r="P5" s="3363"/>
      <c r="Q5" s="3363"/>
      <c r="R5" s="3364"/>
      <c r="S5" s="3365" t="s">
        <v>1100</v>
      </c>
      <c r="T5" s="3365"/>
      <c r="U5" s="3365"/>
      <c r="V5" s="3365"/>
      <c r="W5" s="3365"/>
      <c r="X5" s="3365"/>
      <c r="Y5" s="3365"/>
      <c r="Z5" s="3365"/>
      <c r="AA5" s="3365"/>
      <c r="AB5" s="3365"/>
      <c r="AC5" s="3365"/>
      <c r="AD5" s="3388" t="s">
        <v>1101</v>
      </c>
      <c r="AE5" s="3388"/>
      <c r="AF5" s="3388"/>
      <c r="AG5" s="3362" t="s">
        <v>1102</v>
      </c>
      <c r="AH5" s="3363"/>
      <c r="AI5" s="3363"/>
      <c r="AJ5" s="3363"/>
      <c r="AK5" s="3363"/>
      <c r="AL5" s="3363"/>
      <c r="AM5" s="3363"/>
      <c r="AN5" s="3363"/>
      <c r="AO5" s="3363"/>
      <c r="AP5" s="3363"/>
      <c r="AQ5" s="3364"/>
      <c r="AR5" s="3381" t="s">
        <v>1103</v>
      </c>
      <c r="AS5" s="3374" t="s">
        <v>1104</v>
      </c>
      <c r="AT5" s="1274"/>
      <c r="AU5" s="1274"/>
      <c r="AV5" s="1274"/>
      <c r="AW5" s="1274"/>
      <c r="AX5" s="1274"/>
      <c r="AY5" s="1274"/>
      <c r="AZ5" s="1274"/>
      <c r="BA5" s="1274"/>
      <c r="BB5" s="1274"/>
      <c r="BC5" s="1274"/>
      <c r="BD5" s="1274"/>
      <c r="BE5" s="1274"/>
      <c r="BF5" s="1274"/>
      <c r="BG5" s="1274"/>
      <c r="BH5" s="1274"/>
      <c r="BI5" s="1274"/>
      <c r="BJ5" s="1274"/>
      <c r="BK5" s="1274"/>
      <c r="BL5" s="1274"/>
      <c r="BM5" s="1274"/>
      <c r="BN5" s="1274"/>
      <c r="BO5" s="1274"/>
      <c r="BP5" s="1274"/>
    </row>
    <row r="6" spans="1:68" s="1259" customFormat="1" ht="32.25" customHeight="1" x14ac:dyDescent="0.25">
      <c r="A6" s="3390"/>
      <c r="B6" s="3390"/>
      <c r="C6" s="3396" t="s">
        <v>13</v>
      </c>
      <c r="D6" s="3374" t="s">
        <v>1105</v>
      </c>
      <c r="E6" s="3374"/>
      <c r="F6" s="3374" t="s">
        <v>1106</v>
      </c>
      <c r="G6" s="3374"/>
      <c r="H6" s="3374" t="s">
        <v>1107</v>
      </c>
      <c r="I6" s="3374"/>
      <c r="J6" s="3374" t="s">
        <v>1108</v>
      </c>
      <c r="K6" s="3374"/>
      <c r="L6" s="3396" t="s">
        <v>13</v>
      </c>
      <c r="M6" s="3374" t="s">
        <v>590</v>
      </c>
      <c r="N6" s="3374"/>
      <c r="O6" s="3374"/>
      <c r="P6" s="3375" t="s">
        <v>1109</v>
      </c>
      <c r="Q6" s="3375"/>
      <c r="R6" s="3375"/>
      <c r="S6" s="3389" t="s">
        <v>13</v>
      </c>
      <c r="T6" s="3386" t="s">
        <v>1110</v>
      </c>
      <c r="U6" s="3387"/>
      <c r="V6" s="3386" t="s">
        <v>1111</v>
      </c>
      <c r="W6" s="3387"/>
      <c r="X6" s="3386" t="s">
        <v>1112</v>
      </c>
      <c r="Y6" s="3387"/>
      <c r="Z6" s="3366" t="s">
        <v>1113</v>
      </c>
      <c r="AA6" s="3367"/>
      <c r="AB6" s="3366" t="s">
        <v>1114</v>
      </c>
      <c r="AC6" s="3367"/>
      <c r="AD6" s="3368" t="s">
        <v>13</v>
      </c>
      <c r="AE6" s="3398" t="s">
        <v>494</v>
      </c>
      <c r="AF6" s="3372" t="s">
        <v>535</v>
      </c>
      <c r="AG6" s="3368" t="s">
        <v>13</v>
      </c>
      <c r="AH6" s="3366" t="s">
        <v>1115</v>
      </c>
      <c r="AI6" s="3367"/>
      <c r="AJ6" s="3366" t="s">
        <v>668</v>
      </c>
      <c r="AK6" s="3367"/>
      <c r="AL6" s="3366" t="s">
        <v>709</v>
      </c>
      <c r="AM6" s="3367"/>
      <c r="AN6" s="3366" t="s">
        <v>754</v>
      </c>
      <c r="AO6" s="3367"/>
      <c r="AP6" s="3366" t="s">
        <v>1048</v>
      </c>
      <c r="AQ6" s="3367"/>
      <c r="AR6" s="3382"/>
      <c r="AS6" s="3374"/>
      <c r="AT6" s="1276"/>
      <c r="AU6" s="1276"/>
      <c r="AV6" s="1276"/>
      <c r="AW6" s="1276"/>
      <c r="AX6" s="1276"/>
      <c r="AY6" s="1276"/>
      <c r="AZ6" s="1276"/>
      <c r="BA6" s="1276"/>
      <c r="BB6" s="1276"/>
      <c r="BC6" s="1276"/>
      <c r="BD6" s="1276"/>
      <c r="BE6" s="1276"/>
      <c r="BF6" s="1276"/>
      <c r="BG6" s="1276"/>
      <c r="BH6" s="1276"/>
      <c r="BI6" s="1276"/>
      <c r="BJ6" s="1276"/>
      <c r="BK6" s="1276"/>
      <c r="BL6" s="1276"/>
      <c r="BM6" s="1276"/>
      <c r="BN6" s="1276"/>
      <c r="BO6" s="1276"/>
      <c r="BP6" s="1276"/>
    </row>
    <row r="7" spans="1:68" s="1259" customFormat="1" ht="53.25" customHeight="1" x14ac:dyDescent="0.25">
      <c r="A7" s="3390"/>
      <c r="B7" s="3390"/>
      <c r="C7" s="3397"/>
      <c r="D7" s="1273" t="s">
        <v>494</v>
      </c>
      <c r="E7" s="1273" t="s">
        <v>535</v>
      </c>
      <c r="F7" s="1273" t="s">
        <v>494</v>
      </c>
      <c r="G7" s="1273" t="s">
        <v>535</v>
      </c>
      <c r="H7" s="1273" t="s">
        <v>494</v>
      </c>
      <c r="I7" s="1273" t="s">
        <v>535</v>
      </c>
      <c r="J7" s="1273" t="s">
        <v>494</v>
      </c>
      <c r="K7" s="1273" t="s">
        <v>535</v>
      </c>
      <c r="L7" s="3397"/>
      <c r="M7" s="1273" t="s">
        <v>586</v>
      </c>
      <c r="N7" s="1273" t="s">
        <v>494</v>
      </c>
      <c r="O7" s="1273" t="s">
        <v>535</v>
      </c>
      <c r="P7" s="2559" t="s">
        <v>586</v>
      </c>
      <c r="Q7" s="2559" t="s">
        <v>494</v>
      </c>
      <c r="R7" s="2559" t="s">
        <v>535</v>
      </c>
      <c r="S7" s="3389"/>
      <c r="T7" s="2559" t="s">
        <v>494</v>
      </c>
      <c r="U7" s="2559" t="s">
        <v>535</v>
      </c>
      <c r="V7" s="2559" t="s">
        <v>494</v>
      </c>
      <c r="W7" s="2559" t="s">
        <v>535</v>
      </c>
      <c r="X7" s="2559" t="s">
        <v>494</v>
      </c>
      <c r="Y7" s="2559" t="s">
        <v>535</v>
      </c>
      <c r="Z7" s="1273" t="s">
        <v>494</v>
      </c>
      <c r="AA7" s="1273" t="s">
        <v>535</v>
      </c>
      <c r="AB7" s="1273" t="s">
        <v>494</v>
      </c>
      <c r="AC7" s="1273" t="s">
        <v>535</v>
      </c>
      <c r="AD7" s="3369"/>
      <c r="AE7" s="3399"/>
      <c r="AF7" s="3373"/>
      <c r="AG7" s="3369"/>
      <c r="AH7" s="1273" t="s">
        <v>494</v>
      </c>
      <c r="AI7" s="1273" t="s">
        <v>535</v>
      </c>
      <c r="AJ7" s="1273" t="s">
        <v>494</v>
      </c>
      <c r="AK7" s="1273" t="s">
        <v>535</v>
      </c>
      <c r="AL7" s="1273" t="s">
        <v>494</v>
      </c>
      <c r="AM7" s="1273" t="s">
        <v>535</v>
      </c>
      <c r="AN7" s="1273" t="s">
        <v>494</v>
      </c>
      <c r="AO7" s="1273" t="s">
        <v>535</v>
      </c>
      <c r="AP7" s="1273" t="s">
        <v>494</v>
      </c>
      <c r="AQ7" s="1273" t="s">
        <v>535</v>
      </c>
      <c r="AR7" s="3383"/>
      <c r="AS7" s="3374"/>
      <c r="AT7" s="1276"/>
      <c r="AU7" s="1276"/>
      <c r="AV7" s="1276"/>
      <c r="AW7" s="1276"/>
      <c r="AX7" s="1276"/>
      <c r="AY7" s="1276"/>
      <c r="AZ7" s="1276"/>
      <c r="BA7" s="1276"/>
      <c r="BB7" s="1276"/>
      <c r="BC7" s="1276"/>
      <c r="BD7" s="1276"/>
      <c r="BE7" s="1276"/>
      <c r="BF7" s="1276"/>
      <c r="BG7" s="1276"/>
      <c r="BH7" s="1276"/>
      <c r="BI7" s="1276"/>
      <c r="BJ7" s="1276"/>
      <c r="BK7" s="1276"/>
      <c r="BL7" s="1276"/>
      <c r="BM7" s="1276"/>
      <c r="BN7" s="1276"/>
      <c r="BO7" s="1276"/>
      <c r="BP7" s="1276"/>
    </row>
    <row r="8" spans="1:68" s="1283" customFormat="1" ht="30.75" customHeight="1" x14ac:dyDescent="0.25">
      <c r="A8" s="1277" t="s">
        <v>3</v>
      </c>
      <c r="B8" s="1278" t="s">
        <v>4</v>
      </c>
      <c r="C8" s="1279">
        <v>1</v>
      </c>
      <c r="D8" s="1280">
        <v>2</v>
      </c>
      <c r="E8" s="1280">
        <v>3</v>
      </c>
      <c r="F8" s="1281">
        <v>4</v>
      </c>
      <c r="G8" s="1280">
        <v>5</v>
      </c>
      <c r="H8" s="1279">
        <v>6</v>
      </c>
      <c r="I8" s="1280">
        <v>7</v>
      </c>
      <c r="J8" s="1280">
        <v>8</v>
      </c>
      <c r="K8" s="1281">
        <v>9</v>
      </c>
      <c r="L8" s="1280">
        <v>10</v>
      </c>
      <c r="M8" s="1279">
        <v>11</v>
      </c>
      <c r="N8" s="1280">
        <v>12</v>
      </c>
      <c r="O8" s="1280">
        <v>13</v>
      </c>
      <c r="P8" s="2561">
        <v>14</v>
      </c>
      <c r="Q8" s="2562">
        <v>15</v>
      </c>
      <c r="R8" s="2563">
        <v>16</v>
      </c>
      <c r="S8" s="1280">
        <v>17</v>
      </c>
      <c r="T8" s="2562">
        <v>18</v>
      </c>
      <c r="U8" s="2561">
        <v>19</v>
      </c>
      <c r="V8" s="2562">
        <v>20</v>
      </c>
      <c r="W8" s="2563">
        <v>21</v>
      </c>
      <c r="X8" s="2562">
        <v>22</v>
      </c>
      <c r="Y8" s="2562">
        <v>23</v>
      </c>
      <c r="Z8" s="1281">
        <v>24</v>
      </c>
      <c r="AA8" s="1280">
        <v>25</v>
      </c>
      <c r="AB8" s="1279">
        <v>26</v>
      </c>
      <c r="AC8" s="1280">
        <v>27</v>
      </c>
      <c r="AD8" s="1280">
        <v>28</v>
      </c>
      <c r="AE8" s="1281">
        <v>29</v>
      </c>
      <c r="AF8" s="1280">
        <v>30</v>
      </c>
      <c r="AG8" s="1279">
        <v>31</v>
      </c>
      <c r="AH8" s="1280">
        <v>32</v>
      </c>
      <c r="AI8" s="1280">
        <v>33</v>
      </c>
      <c r="AJ8" s="1281">
        <v>34</v>
      </c>
      <c r="AK8" s="1280">
        <v>35</v>
      </c>
      <c r="AL8" s="1279">
        <v>36</v>
      </c>
      <c r="AM8" s="1280">
        <v>37</v>
      </c>
      <c r="AN8" s="1280">
        <v>38</v>
      </c>
      <c r="AO8" s="1281">
        <v>39</v>
      </c>
      <c r="AP8" s="1280">
        <v>40</v>
      </c>
      <c r="AQ8" s="1279">
        <v>41</v>
      </c>
      <c r="AR8" s="1280">
        <v>42</v>
      </c>
      <c r="AS8" s="1280">
        <v>43</v>
      </c>
      <c r="AT8" s="1282"/>
      <c r="AU8" s="1282"/>
      <c r="AV8" s="1282"/>
      <c r="AW8" s="1282"/>
      <c r="AX8" s="1282"/>
      <c r="AY8" s="1282"/>
      <c r="AZ8" s="1282"/>
      <c r="BA8" s="1282"/>
      <c r="BB8" s="1282"/>
      <c r="BC8" s="1282"/>
      <c r="BD8" s="1282"/>
      <c r="BE8" s="1282"/>
      <c r="BF8" s="1282"/>
      <c r="BG8" s="1282"/>
      <c r="BH8" s="1282"/>
      <c r="BI8" s="1282"/>
      <c r="BJ8" s="1282"/>
      <c r="BK8" s="1282"/>
      <c r="BL8" s="1282"/>
      <c r="BM8" s="1282"/>
      <c r="BN8" s="1282"/>
      <c r="BO8" s="1282"/>
      <c r="BP8" s="1282"/>
    </row>
    <row r="9" spans="1:68" s="2569" customFormat="1" ht="27.75" customHeight="1" x14ac:dyDescent="0.25">
      <c r="A9" s="2564"/>
      <c r="B9" s="2564" t="s">
        <v>29</v>
      </c>
      <c r="C9" s="2565"/>
      <c r="D9" s="2566"/>
      <c r="E9" s="2566"/>
      <c r="F9" s="2566"/>
      <c r="G9" s="2566"/>
      <c r="H9" s="2566"/>
      <c r="I9" s="2566"/>
      <c r="J9" s="2566"/>
      <c r="K9" s="2566"/>
      <c r="L9" s="2566"/>
      <c r="M9" s="2566"/>
      <c r="N9" s="2566"/>
      <c r="O9" s="2566"/>
      <c r="P9" s="2567"/>
      <c r="Q9" s="2567"/>
      <c r="R9" s="2567"/>
      <c r="S9" s="2566"/>
      <c r="T9" s="2567"/>
      <c r="U9" s="2567"/>
      <c r="V9" s="2567"/>
      <c r="W9" s="2567"/>
      <c r="X9" s="2567"/>
      <c r="Y9" s="2567"/>
      <c r="Z9" s="2566"/>
      <c r="AA9" s="2566"/>
      <c r="AB9" s="2566"/>
      <c r="AC9" s="2566"/>
      <c r="AD9" s="2566"/>
      <c r="AE9" s="2566"/>
      <c r="AF9" s="2566"/>
      <c r="AG9" s="2566"/>
      <c r="AH9" s="2566"/>
      <c r="AI9" s="2566"/>
      <c r="AJ9" s="2566"/>
      <c r="AK9" s="2566"/>
      <c r="AL9" s="2566"/>
      <c r="AM9" s="2566"/>
      <c r="AN9" s="2566"/>
      <c r="AO9" s="2566"/>
      <c r="AP9" s="2566"/>
      <c r="AQ9" s="2566"/>
      <c r="AR9" s="2566"/>
      <c r="AS9" s="2566"/>
      <c r="AT9" s="2568"/>
      <c r="AU9" s="2568"/>
      <c r="AV9" s="2568"/>
      <c r="AW9" s="2568"/>
      <c r="AX9" s="2568"/>
      <c r="AY9" s="2568"/>
      <c r="AZ9" s="2568"/>
      <c r="BA9" s="2568"/>
      <c r="BB9" s="2568"/>
      <c r="BC9" s="2568"/>
      <c r="BD9" s="2568"/>
      <c r="BE9" s="2568"/>
      <c r="BF9" s="2568"/>
      <c r="BG9" s="2568"/>
      <c r="BH9" s="2568"/>
      <c r="BI9" s="2568"/>
      <c r="BJ9" s="2568"/>
      <c r="BK9" s="2568"/>
      <c r="BL9" s="2568"/>
      <c r="BM9" s="2568"/>
      <c r="BN9" s="2568"/>
      <c r="BO9" s="2568"/>
      <c r="BP9" s="2568"/>
    </row>
    <row r="10" spans="1:68" s="2569" customFormat="1" ht="27.75" customHeight="1" x14ac:dyDescent="0.25">
      <c r="A10" s="2564" t="s">
        <v>3</v>
      </c>
      <c r="B10" s="2570" t="s">
        <v>1116</v>
      </c>
      <c r="C10" s="2565">
        <f>SUM(C11,C38,C86)</f>
        <v>1382384.416</v>
      </c>
      <c r="D10" s="2566"/>
      <c r="E10" s="2566"/>
      <c r="F10" s="2566"/>
      <c r="G10" s="2566"/>
      <c r="H10" s="2566"/>
      <c r="I10" s="2566"/>
      <c r="J10" s="2609">
        <f>SUM(J11,J38,J86)</f>
        <v>284285.27100000001</v>
      </c>
      <c r="K10" s="2565">
        <f t="shared" ref="K10:AR10" si="0">SUM(K11,K38,K86)</f>
        <v>1098099.145</v>
      </c>
      <c r="L10" s="2565">
        <f t="shared" si="0"/>
        <v>3601500</v>
      </c>
      <c r="M10" s="2565">
        <f t="shared" si="0"/>
        <v>3601500</v>
      </c>
      <c r="N10" s="2609">
        <f t="shared" si="0"/>
        <v>59400</v>
      </c>
      <c r="O10" s="2609">
        <f t="shared" si="0"/>
        <v>3542100</v>
      </c>
      <c r="P10" s="2565">
        <f t="shared" si="0"/>
        <v>0</v>
      </c>
      <c r="Q10" s="2565">
        <f t="shared" si="0"/>
        <v>0</v>
      </c>
      <c r="R10" s="2565">
        <f t="shared" si="0"/>
        <v>0</v>
      </c>
      <c r="S10" s="2565">
        <f t="shared" si="0"/>
        <v>1461068.6940000001</v>
      </c>
      <c r="T10" s="2565">
        <f t="shared" si="0"/>
        <v>0</v>
      </c>
      <c r="U10" s="2565">
        <f t="shared" si="0"/>
        <v>0</v>
      </c>
      <c r="V10" s="2565">
        <f t="shared" si="0"/>
        <v>0</v>
      </c>
      <c r="W10" s="2565">
        <f t="shared" si="0"/>
        <v>0</v>
      </c>
      <c r="X10" s="2565">
        <f t="shared" si="0"/>
        <v>0</v>
      </c>
      <c r="Y10" s="2565">
        <f t="shared" si="0"/>
        <v>0</v>
      </c>
      <c r="Z10" s="2565">
        <f t="shared" si="0"/>
        <v>246234.14300000001</v>
      </c>
      <c r="AA10" s="2565">
        <f t="shared" si="0"/>
        <v>303630.2</v>
      </c>
      <c r="AB10" s="2565">
        <f t="shared" si="0"/>
        <v>40550.830999999998</v>
      </c>
      <c r="AC10" s="2565">
        <f t="shared" si="0"/>
        <v>870653.52</v>
      </c>
      <c r="AD10" s="2565">
        <f t="shared" si="0"/>
        <v>2446816.2599999998</v>
      </c>
      <c r="AE10" s="2565">
        <f t="shared" si="0"/>
        <v>0</v>
      </c>
      <c r="AF10" s="2565">
        <f t="shared" si="0"/>
        <v>2446816.2599999998</v>
      </c>
      <c r="AG10" s="2565">
        <f t="shared" si="0"/>
        <v>0</v>
      </c>
      <c r="AH10" s="2565">
        <f t="shared" si="0"/>
        <v>0</v>
      </c>
      <c r="AI10" s="2565">
        <f t="shared" si="0"/>
        <v>0</v>
      </c>
      <c r="AJ10" s="2565">
        <f t="shared" si="0"/>
        <v>0</v>
      </c>
      <c r="AK10" s="2565">
        <f t="shared" si="0"/>
        <v>0</v>
      </c>
      <c r="AL10" s="2565">
        <f t="shared" si="0"/>
        <v>0</v>
      </c>
      <c r="AM10" s="2565">
        <f t="shared" si="0"/>
        <v>0</v>
      </c>
      <c r="AN10" s="2565">
        <f t="shared" si="0"/>
        <v>0</v>
      </c>
      <c r="AO10" s="2565">
        <f t="shared" si="0"/>
        <v>0</v>
      </c>
      <c r="AP10" s="2565">
        <f t="shared" si="0"/>
        <v>0</v>
      </c>
      <c r="AQ10" s="2565">
        <f t="shared" si="0"/>
        <v>0</v>
      </c>
      <c r="AR10" s="2565">
        <f t="shared" si="0"/>
        <v>1075999.4619999998</v>
      </c>
      <c r="AS10" s="2566"/>
      <c r="AT10" s="2568"/>
      <c r="AU10" s="2568"/>
      <c r="AV10" s="2568"/>
      <c r="AW10" s="2568"/>
      <c r="AX10" s="2568"/>
      <c r="AY10" s="2568"/>
      <c r="AZ10" s="2568"/>
      <c r="BA10" s="2568"/>
      <c r="BB10" s="2568"/>
      <c r="BC10" s="2568"/>
      <c r="BD10" s="2568"/>
      <c r="BE10" s="2568"/>
      <c r="BF10" s="2568"/>
      <c r="BG10" s="2568"/>
      <c r="BH10" s="2568"/>
      <c r="BI10" s="2568"/>
      <c r="BJ10" s="2568"/>
      <c r="BK10" s="2568"/>
      <c r="BL10" s="2568"/>
      <c r="BM10" s="2568"/>
      <c r="BN10" s="2568"/>
      <c r="BO10" s="2568"/>
      <c r="BP10" s="2568"/>
    </row>
    <row r="11" spans="1:68" s="2573" customFormat="1" ht="45.75" customHeight="1" x14ac:dyDescent="0.25">
      <c r="A11" s="2564" t="s">
        <v>5</v>
      </c>
      <c r="B11" s="2571" t="s">
        <v>1117</v>
      </c>
      <c r="C11" s="2565">
        <f>SUM(C12:C14)</f>
        <v>518172.47100000002</v>
      </c>
      <c r="D11" s="2566"/>
      <c r="E11" s="2566"/>
      <c r="F11" s="2566"/>
      <c r="G11" s="2566"/>
      <c r="H11" s="2566"/>
      <c r="I11" s="2566"/>
      <c r="J11" s="2609">
        <f>SUM(J12:J14)</f>
        <v>284285.27100000001</v>
      </c>
      <c r="K11" s="2609">
        <f t="shared" ref="K11:AR11" si="1">SUM(K12:K14)</f>
        <v>233887.2</v>
      </c>
      <c r="L11" s="2565">
        <f t="shared" si="1"/>
        <v>394400</v>
      </c>
      <c r="M11" s="2565">
        <f t="shared" si="1"/>
        <v>394400</v>
      </c>
      <c r="N11" s="2609">
        <f t="shared" si="1"/>
        <v>59400</v>
      </c>
      <c r="O11" s="2609">
        <f t="shared" si="1"/>
        <v>335000</v>
      </c>
      <c r="P11" s="2565">
        <f t="shared" si="1"/>
        <v>0</v>
      </c>
      <c r="Q11" s="2565">
        <f t="shared" si="1"/>
        <v>0</v>
      </c>
      <c r="R11" s="2565">
        <f t="shared" si="1"/>
        <v>0</v>
      </c>
      <c r="S11" s="2609">
        <f t="shared" si="1"/>
        <v>471954.37400000001</v>
      </c>
      <c r="T11" s="2565">
        <f t="shared" si="1"/>
        <v>0</v>
      </c>
      <c r="U11" s="2565">
        <f t="shared" si="1"/>
        <v>0</v>
      </c>
      <c r="V11" s="2565">
        <f t="shared" si="1"/>
        <v>0</v>
      </c>
      <c r="W11" s="2565">
        <f t="shared" si="1"/>
        <v>0</v>
      </c>
      <c r="X11" s="2565">
        <f t="shared" si="1"/>
        <v>0</v>
      </c>
      <c r="Y11" s="2565">
        <f t="shared" si="1"/>
        <v>0</v>
      </c>
      <c r="Z11" s="2609">
        <f t="shared" si="1"/>
        <v>246234.14300000001</v>
      </c>
      <c r="AA11" s="2609">
        <f t="shared" si="1"/>
        <v>0</v>
      </c>
      <c r="AB11" s="2609">
        <f t="shared" si="1"/>
        <v>40550.830999999998</v>
      </c>
      <c r="AC11" s="2609">
        <f t="shared" si="1"/>
        <v>185169.4</v>
      </c>
      <c r="AD11" s="2609">
        <f t="shared" si="1"/>
        <v>183570</v>
      </c>
      <c r="AE11" s="2565">
        <f t="shared" si="1"/>
        <v>0</v>
      </c>
      <c r="AF11" s="2565">
        <f t="shared" si="1"/>
        <v>183570</v>
      </c>
      <c r="AG11" s="2565">
        <f t="shared" si="1"/>
        <v>0</v>
      </c>
      <c r="AH11" s="2565">
        <f t="shared" si="1"/>
        <v>0</v>
      </c>
      <c r="AI11" s="2565">
        <f t="shared" si="1"/>
        <v>0</v>
      </c>
      <c r="AJ11" s="2565">
        <f t="shared" si="1"/>
        <v>0</v>
      </c>
      <c r="AK11" s="2565">
        <f t="shared" si="1"/>
        <v>0</v>
      </c>
      <c r="AL11" s="2565">
        <f t="shared" si="1"/>
        <v>0</v>
      </c>
      <c r="AM11" s="2565">
        <f t="shared" si="1"/>
        <v>0</v>
      </c>
      <c r="AN11" s="2565">
        <f t="shared" si="1"/>
        <v>0</v>
      </c>
      <c r="AO11" s="2565">
        <f t="shared" si="1"/>
        <v>0</v>
      </c>
      <c r="AP11" s="2565">
        <f t="shared" si="1"/>
        <v>0</v>
      </c>
      <c r="AQ11" s="2565">
        <f t="shared" si="1"/>
        <v>0</v>
      </c>
      <c r="AR11" s="2609">
        <f t="shared" si="1"/>
        <v>257048.09699999998</v>
      </c>
      <c r="AS11" s="2566"/>
      <c r="AT11" s="2572"/>
      <c r="AU11" s="2572"/>
      <c r="AV11" s="2572"/>
      <c r="AW11" s="2572"/>
      <c r="AX11" s="2572"/>
      <c r="AY11" s="2572"/>
      <c r="AZ11" s="2572"/>
      <c r="BA11" s="2572"/>
      <c r="BB11" s="2572"/>
      <c r="BC11" s="2572"/>
      <c r="BD11" s="2572"/>
      <c r="BE11" s="2572"/>
      <c r="BF11" s="2572"/>
      <c r="BG11" s="2572"/>
      <c r="BH11" s="2572"/>
      <c r="BI11" s="2572"/>
      <c r="BJ11" s="2572"/>
      <c r="BK11" s="2572"/>
      <c r="BL11" s="2572"/>
      <c r="BM11" s="2572"/>
      <c r="BN11" s="2572"/>
      <c r="BO11" s="2572"/>
      <c r="BP11" s="2572"/>
    </row>
    <row r="12" spans="1:68" s="2580" customFormat="1" ht="21" customHeight="1" x14ac:dyDescent="0.25">
      <c r="A12" s="2574" t="s">
        <v>23</v>
      </c>
      <c r="B12" s="2575" t="s">
        <v>1118</v>
      </c>
      <c r="C12" s="2576">
        <f>J12+K12</f>
        <v>481172.47100000002</v>
      </c>
      <c r="D12" s="2577"/>
      <c r="E12" s="2577"/>
      <c r="F12" s="2577"/>
      <c r="G12" s="2577"/>
      <c r="H12" s="2577"/>
      <c r="I12" s="2577"/>
      <c r="J12" s="2577">
        <f>J16+J20+J28+J25+J32+J36</f>
        <v>268285.27100000001</v>
      </c>
      <c r="K12" s="2577">
        <f>K16+K20+K28+K25+K32+K36</f>
        <v>212887.2</v>
      </c>
      <c r="L12" s="2577">
        <f>M12+P12</f>
        <v>376400</v>
      </c>
      <c r="M12" s="2577">
        <f>N12+O12</f>
        <v>376400</v>
      </c>
      <c r="N12" s="2577">
        <f>N16+N20+N28+N25+N32+N36</f>
        <v>57400</v>
      </c>
      <c r="O12" s="2577">
        <f>O16+O20+O28+O25+O32+O36</f>
        <v>319000</v>
      </c>
      <c r="P12" s="2578"/>
      <c r="Q12" s="2577">
        <f>Q16+Q20+Q28+Q25+Q32+Q36</f>
        <v>0</v>
      </c>
      <c r="R12" s="2577">
        <f>R16+R20+R28+R25+R32+R36</f>
        <v>0</v>
      </c>
      <c r="S12" s="2577">
        <f>SUM(T12:AC12)</f>
        <v>467887.21400000004</v>
      </c>
      <c r="T12" s="2578"/>
      <c r="U12" s="2578"/>
      <c r="V12" s="2578"/>
      <c r="W12" s="2578"/>
      <c r="X12" s="2578"/>
      <c r="Y12" s="2578"/>
      <c r="Z12" s="2577">
        <f>Z16+Z20+Z28+Z25+Z32+Z36</f>
        <v>242166.98300000001</v>
      </c>
      <c r="AA12" s="2577">
        <f>AA16+AA20+AA28+AA25+AA32+AA36</f>
        <v>0</v>
      </c>
      <c r="AB12" s="2577">
        <f>AB16+AB20+AB28+AB25+AB32+AB36</f>
        <v>40550.830999999998</v>
      </c>
      <c r="AC12" s="2577">
        <f>AC16+AC20+AC28+AC25+AC32+AC36</f>
        <v>185169.4</v>
      </c>
      <c r="AD12" s="2577">
        <f>AE12+AF12</f>
        <v>169570</v>
      </c>
      <c r="AE12" s="2577">
        <f>AE16+AE20+AE28+AE25+AE32+AE36</f>
        <v>0</v>
      </c>
      <c r="AF12" s="2577">
        <f>AF16+AF20+AF25+AF28+AF32+AF36</f>
        <v>169570</v>
      </c>
      <c r="AG12" s="2577"/>
      <c r="AH12" s="2577"/>
      <c r="AI12" s="2577"/>
      <c r="AJ12" s="2577"/>
      <c r="AK12" s="2577"/>
      <c r="AL12" s="2577"/>
      <c r="AM12" s="2577"/>
      <c r="AN12" s="2577"/>
      <c r="AO12" s="2577"/>
      <c r="AP12" s="2577"/>
      <c r="AQ12" s="2577"/>
      <c r="AR12" s="2577">
        <f>AR16+AR20+AR28+AR25+AR32+AR36</f>
        <v>220115.25699999998</v>
      </c>
      <c r="AS12" s="2577"/>
      <c r="AT12" s="2579"/>
      <c r="AU12" s="2579"/>
      <c r="AV12" s="2579"/>
      <c r="AW12" s="2579"/>
      <c r="AX12" s="2579"/>
      <c r="AY12" s="2579"/>
      <c r="AZ12" s="2579"/>
      <c r="BA12" s="2579"/>
      <c r="BB12" s="2579"/>
      <c r="BC12" s="2579"/>
      <c r="BD12" s="2579"/>
      <c r="BE12" s="2579"/>
      <c r="BF12" s="2579"/>
      <c r="BG12" s="2579"/>
      <c r="BH12" s="2579"/>
      <c r="BI12" s="2579"/>
      <c r="BJ12" s="2579"/>
      <c r="BK12" s="2579"/>
      <c r="BL12" s="2579"/>
      <c r="BM12" s="2579"/>
      <c r="BN12" s="2579"/>
      <c r="BO12" s="2579"/>
      <c r="BP12" s="2579"/>
    </row>
    <row r="13" spans="1:68" s="2580" customFormat="1" ht="21.75" customHeight="1" x14ac:dyDescent="0.25">
      <c r="A13" s="2574" t="s">
        <v>23</v>
      </c>
      <c r="B13" s="2575" t="s">
        <v>1119</v>
      </c>
      <c r="C13" s="2576">
        <f t="shared" ref="C13:C14" si="2">J13+K13</f>
        <v>37000</v>
      </c>
      <c r="D13" s="2577"/>
      <c r="E13" s="2577"/>
      <c r="F13" s="2577"/>
      <c r="G13" s="2577"/>
      <c r="H13" s="2577"/>
      <c r="I13" s="2577"/>
      <c r="J13" s="2577">
        <f>J17+J21+J29+J33+J37</f>
        <v>16000</v>
      </c>
      <c r="K13" s="2577">
        <f>K17+K21+K29+K26+K33+K37</f>
        <v>21000</v>
      </c>
      <c r="L13" s="2577">
        <f>M13+P13</f>
        <v>18000</v>
      </c>
      <c r="M13" s="2577">
        <f>N13+O13</f>
        <v>18000</v>
      </c>
      <c r="N13" s="2577">
        <f>N17+N21+N29+N33+N37</f>
        <v>2000</v>
      </c>
      <c r="O13" s="2577">
        <f>O17+O21+O29+O26+O33+O37</f>
        <v>16000</v>
      </c>
      <c r="P13" s="2578"/>
      <c r="Q13" s="2577">
        <f>Q17+Q21+Q29+Q33+Q37</f>
        <v>0</v>
      </c>
      <c r="R13" s="2577">
        <f>R17+R21+R29+R26+R33+R37</f>
        <v>0</v>
      </c>
      <c r="S13" s="2577">
        <f>SUM(T13:AC13)</f>
        <v>4067.16</v>
      </c>
      <c r="T13" s="2578"/>
      <c r="U13" s="2578"/>
      <c r="V13" s="2578"/>
      <c r="W13" s="2578"/>
      <c r="X13" s="2578"/>
      <c r="Y13" s="2578"/>
      <c r="Z13" s="2577">
        <f>Z17+Z21+Z29+Z33+Z37</f>
        <v>4067.16</v>
      </c>
      <c r="AA13" s="2577">
        <f>AA17+AA21+AA29+AA26+AA33+AA37</f>
        <v>0</v>
      </c>
      <c r="AB13" s="2577">
        <f>AB17+AB21+AB29+AB33+AB37</f>
        <v>0</v>
      </c>
      <c r="AC13" s="2577">
        <f>AC17+AC21+AC29+AC26+AC33+AC37</f>
        <v>0</v>
      </c>
      <c r="AD13" s="2577">
        <f>AE13+AF13</f>
        <v>14000</v>
      </c>
      <c r="AE13" s="2577">
        <f>AE17+AE21+AE29+AE33+AE37</f>
        <v>0</v>
      </c>
      <c r="AF13" s="2577">
        <f>AF17+AF21+AF29+AF26+AF33+AF37</f>
        <v>14000</v>
      </c>
      <c r="AG13" s="2577"/>
      <c r="AH13" s="2577"/>
      <c r="AI13" s="2577"/>
      <c r="AJ13" s="2577"/>
      <c r="AK13" s="2577"/>
      <c r="AL13" s="2577"/>
      <c r="AM13" s="2577"/>
      <c r="AN13" s="2577"/>
      <c r="AO13" s="2577"/>
      <c r="AP13" s="2577"/>
      <c r="AQ13" s="2577"/>
      <c r="AR13" s="2577">
        <f>AR17+AR21+AR29+AR26+AR33+AR37</f>
        <v>36932.839999999997</v>
      </c>
      <c r="AS13" s="2577"/>
      <c r="AT13" s="2579"/>
      <c r="AU13" s="2579"/>
      <c r="AV13" s="2579"/>
      <c r="AW13" s="2579"/>
      <c r="AX13" s="2579"/>
      <c r="AY13" s="2579"/>
      <c r="AZ13" s="2579"/>
      <c r="BA13" s="2579"/>
      <c r="BB13" s="2579"/>
      <c r="BC13" s="2579"/>
      <c r="BD13" s="2579"/>
      <c r="BE13" s="2579"/>
      <c r="BF13" s="2579"/>
      <c r="BG13" s="2579"/>
      <c r="BH13" s="2579"/>
      <c r="BI13" s="2579"/>
      <c r="BJ13" s="2579"/>
      <c r="BK13" s="2579"/>
      <c r="BL13" s="2579"/>
      <c r="BM13" s="2579"/>
      <c r="BN13" s="2579"/>
      <c r="BO13" s="2579"/>
      <c r="BP13" s="2579"/>
    </row>
    <row r="14" spans="1:68" s="2580" customFormat="1" ht="21.75" customHeight="1" x14ac:dyDescent="0.25">
      <c r="A14" s="2574" t="s">
        <v>23</v>
      </c>
      <c r="B14" s="2575" t="s">
        <v>502</v>
      </c>
      <c r="C14" s="2576">
        <f t="shared" si="2"/>
        <v>0</v>
      </c>
      <c r="D14" s="2577"/>
      <c r="E14" s="2577"/>
      <c r="F14" s="2577"/>
      <c r="G14" s="2577"/>
      <c r="H14" s="2577"/>
      <c r="I14" s="2577"/>
      <c r="J14" s="2577"/>
      <c r="K14" s="2577"/>
      <c r="L14" s="2577"/>
      <c r="M14" s="2577"/>
      <c r="N14" s="2577"/>
      <c r="O14" s="2577"/>
      <c r="P14" s="2578"/>
      <c r="Q14" s="2578"/>
      <c r="R14" s="2578"/>
      <c r="S14" s="2577"/>
      <c r="T14" s="2578"/>
      <c r="U14" s="2578"/>
      <c r="V14" s="2578"/>
      <c r="W14" s="2578"/>
      <c r="X14" s="2578"/>
      <c r="Y14" s="2578"/>
      <c r="Z14" s="2577"/>
      <c r="AA14" s="2577"/>
      <c r="AB14" s="2577"/>
      <c r="AC14" s="2577"/>
      <c r="AD14" s="2577"/>
      <c r="AE14" s="2577"/>
      <c r="AF14" s="2577"/>
      <c r="AG14" s="2577"/>
      <c r="AH14" s="2577"/>
      <c r="AI14" s="2577"/>
      <c r="AJ14" s="2577"/>
      <c r="AK14" s="2577"/>
      <c r="AL14" s="2577"/>
      <c r="AM14" s="2577"/>
      <c r="AN14" s="2577"/>
      <c r="AO14" s="2577"/>
      <c r="AP14" s="2577"/>
      <c r="AQ14" s="2577"/>
      <c r="AR14" s="2577"/>
      <c r="AS14" s="2577"/>
      <c r="AT14" s="2579"/>
      <c r="AU14" s="2579"/>
      <c r="AV14" s="2579"/>
      <c r="AW14" s="2579"/>
      <c r="AX14" s="2579"/>
      <c r="AY14" s="2579"/>
      <c r="AZ14" s="2579"/>
      <c r="BA14" s="2579"/>
      <c r="BB14" s="2579"/>
      <c r="BC14" s="2579"/>
      <c r="BD14" s="2579"/>
      <c r="BE14" s="2579"/>
      <c r="BF14" s="2579"/>
      <c r="BG14" s="2579"/>
      <c r="BH14" s="2579"/>
      <c r="BI14" s="2579"/>
      <c r="BJ14" s="2579"/>
      <c r="BK14" s="2579"/>
      <c r="BL14" s="2579"/>
      <c r="BM14" s="2579"/>
      <c r="BN14" s="2579"/>
      <c r="BO14" s="2579"/>
      <c r="BP14" s="2579"/>
    </row>
    <row r="15" spans="1:68" s="2569" customFormat="1" ht="85.5" x14ac:dyDescent="0.25">
      <c r="A15" s="2564">
        <v>1</v>
      </c>
      <c r="B15" s="2571" t="s">
        <v>1120</v>
      </c>
      <c r="C15" s="2565"/>
      <c r="D15" s="2566"/>
      <c r="E15" s="2566"/>
      <c r="F15" s="2566"/>
      <c r="G15" s="2566"/>
      <c r="H15" s="2566"/>
      <c r="I15" s="2566"/>
      <c r="J15" s="2566"/>
      <c r="K15" s="2566"/>
      <c r="L15" s="2566"/>
      <c r="M15" s="2566"/>
      <c r="N15" s="2566"/>
      <c r="O15" s="2566"/>
      <c r="P15" s="2567"/>
      <c r="Q15" s="2567"/>
      <c r="R15" s="2567"/>
      <c r="S15" s="2566"/>
      <c r="T15" s="2567"/>
      <c r="U15" s="2567"/>
      <c r="V15" s="2567"/>
      <c r="W15" s="2567"/>
      <c r="X15" s="2567"/>
      <c r="Y15" s="2567"/>
      <c r="Z15" s="2566"/>
      <c r="AA15" s="2566"/>
      <c r="AB15" s="2566"/>
      <c r="AC15" s="2566"/>
      <c r="AD15" s="2566"/>
      <c r="AE15" s="2566"/>
      <c r="AF15" s="2566"/>
      <c r="AG15" s="2566"/>
      <c r="AH15" s="2566"/>
      <c r="AI15" s="2566"/>
      <c r="AJ15" s="2566"/>
      <c r="AK15" s="2566"/>
      <c r="AL15" s="2566"/>
      <c r="AM15" s="2566"/>
      <c r="AN15" s="2566"/>
      <c r="AO15" s="2566"/>
      <c r="AP15" s="2566"/>
      <c r="AQ15" s="2566"/>
      <c r="AR15" s="2566"/>
      <c r="AS15" s="2566"/>
      <c r="AT15" s="2568"/>
      <c r="AU15" s="2568"/>
      <c r="AV15" s="2568"/>
      <c r="AW15" s="2568"/>
      <c r="AX15" s="2568"/>
      <c r="AY15" s="2568"/>
      <c r="AZ15" s="2568"/>
      <c r="BA15" s="2568"/>
      <c r="BB15" s="2568"/>
      <c r="BC15" s="2568"/>
      <c r="BD15" s="2568"/>
      <c r="BE15" s="2568"/>
      <c r="BF15" s="2568"/>
      <c r="BG15" s="2568"/>
      <c r="BH15" s="2568"/>
      <c r="BI15" s="2568"/>
      <c r="BJ15" s="2568"/>
      <c r="BK15" s="2568"/>
      <c r="BL15" s="2568"/>
      <c r="BM15" s="2568"/>
      <c r="BN15" s="2568"/>
      <c r="BO15" s="2568"/>
      <c r="BP15" s="2568"/>
    </row>
    <row r="16" spans="1:68" s="2580" customFormat="1" ht="21" customHeight="1" x14ac:dyDescent="0.25">
      <c r="A16" s="2574" t="s">
        <v>23</v>
      </c>
      <c r="B16" s="2575" t="s">
        <v>1118</v>
      </c>
      <c r="C16" s="2576"/>
      <c r="D16" s="2577"/>
      <c r="E16" s="2577"/>
      <c r="F16" s="2577"/>
      <c r="G16" s="2577"/>
      <c r="H16" s="2577"/>
      <c r="I16" s="2577"/>
      <c r="J16" s="2577"/>
      <c r="K16" s="2577"/>
      <c r="L16" s="2577"/>
      <c r="M16" s="2577"/>
      <c r="N16" s="2577"/>
      <c r="O16" s="2577"/>
      <c r="P16" s="2578"/>
      <c r="Q16" s="2578"/>
      <c r="R16" s="2578"/>
      <c r="S16" s="2577"/>
      <c r="T16" s="2578"/>
      <c r="U16" s="2578"/>
      <c r="V16" s="2578"/>
      <c r="W16" s="2578"/>
      <c r="X16" s="2578"/>
      <c r="Y16" s="2578"/>
      <c r="Z16" s="2577"/>
      <c r="AA16" s="2577"/>
      <c r="AB16" s="2577"/>
      <c r="AC16" s="2577"/>
      <c r="AD16" s="2577"/>
      <c r="AE16" s="2577"/>
      <c r="AF16" s="2577"/>
      <c r="AG16" s="2577"/>
      <c r="AH16" s="2577"/>
      <c r="AI16" s="2577"/>
      <c r="AJ16" s="2577"/>
      <c r="AK16" s="2577"/>
      <c r="AL16" s="2577"/>
      <c r="AM16" s="2577"/>
      <c r="AN16" s="2577"/>
      <c r="AO16" s="2577"/>
      <c r="AP16" s="2577"/>
      <c r="AQ16" s="2577"/>
      <c r="AR16" s="2577"/>
      <c r="AS16" s="2577"/>
      <c r="AT16" s="2579"/>
      <c r="AU16" s="2579"/>
      <c r="AV16" s="2579"/>
      <c r="AW16" s="2579"/>
      <c r="AX16" s="2579"/>
      <c r="AY16" s="2579"/>
      <c r="AZ16" s="2579"/>
      <c r="BA16" s="2579"/>
      <c r="BB16" s="2579"/>
      <c r="BC16" s="2579"/>
      <c r="BD16" s="2579"/>
      <c r="BE16" s="2579"/>
      <c r="BF16" s="2579"/>
      <c r="BG16" s="2579"/>
      <c r="BH16" s="2579"/>
      <c r="BI16" s="2579"/>
      <c r="BJ16" s="2579"/>
      <c r="BK16" s="2579"/>
      <c r="BL16" s="2579"/>
      <c r="BM16" s="2579"/>
      <c r="BN16" s="2579"/>
      <c r="BO16" s="2579"/>
      <c r="BP16" s="2579"/>
    </row>
    <row r="17" spans="1:68" s="2580" customFormat="1" ht="21.75" customHeight="1" x14ac:dyDescent="0.25">
      <c r="A17" s="2574" t="s">
        <v>23</v>
      </c>
      <c r="B17" s="2575" t="s">
        <v>1119</v>
      </c>
      <c r="C17" s="2576"/>
      <c r="D17" s="2577"/>
      <c r="E17" s="2577"/>
      <c r="F17" s="2577"/>
      <c r="G17" s="2577"/>
      <c r="H17" s="2577"/>
      <c r="I17" s="2577"/>
      <c r="J17" s="2577"/>
      <c r="K17" s="2577"/>
      <c r="L17" s="2577"/>
      <c r="M17" s="2577"/>
      <c r="N17" s="2577"/>
      <c r="O17" s="2577"/>
      <c r="P17" s="2578"/>
      <c r="Q17" s="2578"/>
      <c r="R17" s="2578"/>
      <c r="S17" s="2577"/>
      <c r="T17" s="2578"/>
      <c r="U17" s="2578"/>
      <c r="V17" s="2578"/>
      <c r="W17" s="2578"/>
      <c r="X17" s="2578"/>
      <c r="Y17" s="2578"/>
      <c r="Z17" s="2577"/>
      <c r="AA17" s="2577"/>
      <c r="AB17" s="2577"/>
      <c r="AC17" s="2577"/>
      <c r="AD17" s="2577"/>
      <c r="AE17" s="2577"/>
      <c r="AF17" s="2577"/>
      <c r="AG17" s="2577"/>
      <c r="AH17" s="2577"/>
      <c r="AI17" s="2577"/>
      <c r="AJ17" s="2577"/>
      <c r="AK17" s="2577"/>
      <c r="AL17" s="2577"/>
      <c r="AM17" s="2577"/>
      <c r="AN17" s="2577"/>
      <c r="AO17" s="2577"/>
      <c r="AP17" s="2577"/>
      <c r="AQ17" s="2577"/>
      <c r="AR17" s="2577"/>
      <c r="AS17" s="2577"/>
      <c r="AT17" s="2579"/>
      <c r="AU17" s="2579"/>
      <c r="AV17" s="2579"/>
      <c r="AW17" s="2579"/>
      <c r="AX17" s="2579"/>
      <c r="AY17" s="2579"/>
      <c r="AZ17" s="2579"/>
      <c r="BA17" s="2579"/>
      <c r="BB17" s="2579"/>
      <c r="BC17" s="2579"/>
      <c r="BD17" s="2579"/>
      <c r="BE17" s="2579"/>
      <c r="BF17" s="2579"/>
      <c r="BG17" s="2579"/>
      <c r="BH17" s="2579"/>
      <c r="BI17" s="2579"/>
      <c r="BJ17" s="2579"/>
      <c r="BK17" s="2579"/>
      <c r="BL17" s="2579"/>
      <c r="BM17" s="2579"/>
      <c r="BN17" s="2579"/>
      <c r="BO17" s="2579"/>
      <c r="BP17" s="2579"/>
    </row>
    <row r="18" spans="1:68" s="2580" customFormat="1" ht="21.75" customHeight="1" x14ac:dyDescent="0.25">
      <c r="A18" s="2574" t="s">
        <v>23</v>
      </c>
      <c r="B18" s="2575" t="s">
        <v>502</v>
      </c>
      <c r="C18" s="2576"/>
      <c r="D18" s="2577"/>
      <c r="E18" s="2577"/>
      <c r="F18" s="2577"/>
      <c r="G18" s="2577"/>
      <c r="H18" s="2577"/>
      <c r="I18" s="2577"/>
      <c r="J18" s="2577"/>
      <c r="K18" s="2577"/>
      <c r="L18" s="2577"/>
      <c r="M18" s="2577"/>
      <c r="N18" s="2577"/>
      <c r="O18" s="2577"/>
      <c r="P18" s="2578"/>
      <c r="Q18" s="2578"/>
      <c r="R18" s="2578"/>
      <c r="S18" s="2577"/>
      <c r="T18" s="2578"/>
      <c r="U18" s="2578"/>
      <c r="V18" s="2578"/>
      <c r="W18" s="2578"/>
      <c r="X18" s="2578"/>
      <c r="Y18" s="2578"/>
      <c r="Z18" s="2577"/>
      <c r="AA18" s="2577"/>
      <c r="AB18" s="2577"/>
      <c r="AC18" s="2577"/>
      <c r="AD18" s="2577"/>
      <c r="AE18" s="2577"/>
      <c r="AF18" s="2577"/>
      <c r="AG18" s="2577"/>
      <c r="AH18" s="2577"/>
      <c r="AI18" s="2577"/>
      <c r="AJ18" s="2577"/>
      <c r="AK18" s="2577"/>
      <c r="AL18" s="2577"/>
      <c r="AM18" s="2577"/>
      <c r="AN18" s="2577"/>
      <c r="AO18" s="2577"/>
      <c r="AP18" s="2577"/>
      <c r="AQ18" s="2577"/>
      <c r="AR18" s="2577"/>
      <c r="AS18" s="2577"/>
      <c r="AT18" s="2579"/>
      <c r="AU18" s="2579"/>
      <c r="AV18" s="2579"/>
      <c r="AW18" s="2579"/>
      <c r="AX18" s="2579"/>
      <c r="AY18" s="2579"/>
      <c r="AZ18" s="2579"/>
      <c r="BA18" s="2579"/>
      <c r="BB18" s="2579"/>
      <c r="BC18" s="2579"/>
      <c r="BD18" s="2579"/>
      <c r="BE18" s="2579"/>
      <c r="BF18" s="2579"/>
      <c r="BG18" s="2579"/>
      <c r="BH18" s="2579"/>
      <c r="BI18" s="2579"/>
      <c r="BJ18" s="2579"/>
      <c r="BK18" s="2579"/>
      <c r="BL18" s="2579"/>
      <c r="BM18" s="2579"/>
      <c r="BN18" s="2579"/>
      <c r="BO18" s="2579"/>
      <c r="BP18" s="2579"/>
    </row>
    <row r="19" spans="1:68" s="2569" customFormat="1" ht="104.25" customHeight="1" x14ac:dyDescent="0.25">
      <c r="A19" s="2564">
        <v>2</v>
      </c>
      <c r="B19" s="2571" t="s">
        <v>1121</v>
      </c>
      <c r="C19" s="2565"/>
      <c r="D19" s="2566"/>
      <c r="E19" s="2566"/>
      <c r="F19" s="2566"/>
      <c r="G19" s="2566"/>
      <c r="H19" s="2566"/>
      <c r="I19" s="2566"/>
      <c r="J19" s="2566">
        <f>SUM(J20:J22)</f>
        <v>284285.27100000001</v>
      </c>
      <c r="K19" s="2566"/>
      <c r="L19" s="2566">
        <f>SUM(L20:L22)</f>
        <v>59400</v>
      </c>
      <c r="M19" s="2566">
        <f>SUM(M20:M22)</f>
        <v>59400</v>
      </c>
      <c r="N19" s="2566"/>
      <c r="O19" s="2566"/>
      <c r="P19" s="2567">
        <f>SUM(P20:P22)</f>
        <v>0</v>
      </c>
      <c r="Q19" s="2567"/>
      <c r="R19" s="2567"/>
      <c r="S19" s="2566">
        <f>SUM(S20:S22)</f>
        <v>286784.97399999999</v>
      </c>
      <c r="T19" s="2567">
        <f t="shared" ref="T19:AP19" si="3">SUM(T20:T22)</f>
        <v>0</v>
      </c>
      <c r="U19" s="2567">
        <f t="shared" si="3"/>
        <v>0</v>
      </c>
      <c r="V19" s="2567">
        <f t="shared" si="3"/>
        <v>0</v>
      </c>
      <c r="W19" s="2567">
        <f t="shared" si="3"/>
        <v>0</v>
      </c>
      <c r="X19" s="2567">
        <f t="shared" si="3"/>
        <v>0</v>
      </c>
      <c r="Y19" s="2567">
        <f t="shared" si="3"/>
        <v>0</v>
      </c>
      <c r="Z19" s="2566">
        <f t="shared" si="3"/>
        <v>246234.14300000001</v>
      </c>
      <c r="AA19" s="2566">
        <f t="shared" si="3"/>
        <v>0</v>
      </c>
      <c r="AB19" s="2566">
        <f t="shared" si="3"/>
        <v>40550.830999999998</v>
      </c>
      <c r="AC19" s="2566">
        <f t="shared" si="3"/>
        <v>0</v>
      </c>
      <c r="AD19" s="2566">
        <f t="shared" si="3"/>
        <v>0</v>
      </c>
      <c r="AE19" s="2566">
        <f t="shared" si="3"/>
        <v>0</v>
      </c>
      <c r="AF19" s="2566">
        <f t="shared" si="3"/>
        <v>0</v>
      </c>
      <c r="AG19" s="2566">
        <f t="shared" si="3"/>
        <v>0</v>
      </c>
      <c r="AH19" s="2566">
        <f t="shared" si="3"/>
        <v>0</v>
      </c>
      <c r="AI19" s="2566">
        <f t="shared" si="3"/>
        <v>0</v>
      </c>
      <c r="AJ19" s="2566">
        <f t="shared" si="3"/>
        <v>0</v>
      </c>
      <c r="AK19" s="2566">
        <f t="shared" si="3"/>
        <v>0</v>
      </c>
      <c r="AL19" s="2566">
        <f t="shared" si="3"/>
        <v>0</v>
      </c>
      <c r="AM19" s="2566">
        <f t="shared" si="3"/>
        <v>0</v>
      </c>
      <c r="AN19" s="2566">
        <f t="shared" si="3"/>
        <v>0</v>
      </c>
      <c r="AO19" s="2566">
        <f t="shared" si="3"/>
        <v>0</v>
      </c>
      <c r="AP19" s="2566">
        <f t="shared" si="3"/>
        <v>0</v>
      </c>
      <c r="AQ19" s="2566">
        <f>SUM(AQ20:AQ22)</f>
        <v>0</v>
      </c>
      <c r="AR19" s="2566">
        <f>SUM(AR20:AR22)</f>
        <v>56900.296999999991</v>
      </c>
      <c r="AS19" s="2566"/>
      <c r="AT19" s="2568"/>
      <c r="AU19" s="2568"/>
      <c r="AV19" s="2568"/>
      <c r="AW19" s="2568"/>
      <c r="AX19" s="2568"/>
      <c r="AY19" s="2568"/>
      <c r="AZ19" s="2568"/>
      <c r="BA19" s="2568"/>
      <c r="BB19" s="2568"/>
      <c r="BC19" s="2568"/>
      <c r="BD19" s="2568"/>
      <c r="BE19" s="2568"/>
      <c r="BF19" s="2568"/>
      <c r="BG19" s="2568"/>
      <c r="BH19" s="2568"/>
      <c r="BI19" s="2568"/>
      <c r="BJ19" s="2568"/>
      <c r="BK19" s="2568"/>
      <c r="BL19" s="2568"/>
      <c r="BM19" s="2568"/>
      <c r="BN19" s="2568"/>
      <c r="BO19" s="2568"/>
      <c r="BP19" s="2568"/>
    </row>
    <row r="20" spans="1:68" s="2580" customFormat="1" ht="21" customHeight="1" x14ac:dyDescent="0.25">
      <c r="A20" s="2574" t="s">
        <v>23</v>
      </c>
      <c r="B20" s="2575" t="s">
        <v>1118</v>
      </c>
      <c r="C20" s="2576">
        <f>SUM(D20:K20)</f>
        <v>268285.27100000001</v>
      </c>
      <c r="D20" s="2577"/>
      <c r="E20" s="2577"/>
      <c r="F20" s="2577"/>
      <c r="G20" s="2577"/>
      <c r="H20" s="2577"/>
      <c r="I20" s="2577"/>
      <c r="J20" s="2577">
        <v>268285.27100000001</v>
      </c>
      <c r="K20" s="2577"/>
      <c r="L20" s="2577">
        <f>+M20+P20</f>
        <v>57400</v>
      </c>
      <c r="M20" s="2577">
        <f>N20+O20</f>
        <v>57400</v>
      </c>
      <c r="N20" s="2577">
        <v>57400</v>
      </c>
      <c r="O20" s="2577"/>
      <c r="P20" s="2578">
        <f>Q20+R20</f>
        <v>0</v>
      </c>
      <c r="Q20" s="2578"/>
      <c r="R20" s="2578"/>
      <c r="S20" s="2577">
        <f>SUM(T20:AC20)</f>
        <v>282717.81400000001</v>
      </c>
      <c r="T20" s="2578"/>
      <c r="U20" s="2578"/>
      <c r="V20" s="2578"/>
      <c r="W20" s="2578"/>
      <c r="X20" s="2578"/>
      <c r="Y20" s="2578"/>
      <c r="Z20" s="2577">
        <v>242166.98300000001</v>
      </c>
      <c r="AA20" s="2577"/>
      <c r="AB20" s="2577">
        <v>40550.830999999998</v>
      </c>
      <c r="AC20" s="2577"/>
      <c r="AD20" s="2577">
        <f>AE20+AF20</f>
        <v>0</v>
      </c>
      <c r="AE20" s="2577"/>
      <c r="AF20" s="2577"/>
      <c r="AG20" s="2577">
        <f>SUM(AH20:AQ20)</f>
        <v>0</v>
      </c>
      <c r="AH20" s="2577"/>
      <c r="AI20" s="2577"/>
      <c r="AJ20" s="2577"/>
      <c r="AK20" s="2577"/>
      <c r="AL20" s="2577"/>
      <c r="AM20" s="2577"/>
      <c r="AN20" s="2577"/>
      <c r="AO20" s="2577"/>
      <c r="AP20" s="2577"/>
      <c r="AQ20" s="2577"/>
      <c r="AR20" s="2577">
        <f>C20+L20-S20</f>
        <v>42967.456999999995</v>
      </c>
      <c r="AS20" s="2577"/>
      <c r="AT20" s="2579"/>
      <c r="AU20" s="2579"/>
      <c r="AV20" s="2579"/>
      <c r="AW20" s="2579"/>
      <c r="AX20" s="2579"/>
      <c r="AY20" s="2579"/>
      <c r="AZ20" s="2579"/>
      <c r="BA20" s="2579"/>
      <c r="BB20" s="2579"/>
      <c r="BC20" s="2579"/>
      <c r="BD20" s="2579"/>
      <c r="BE20" s="2579"/>
      <c r="BF20" s="2579"/>
      <c r="BG20" s="2579"/>
      <c r="BH20" s="2579"/>
      <c r="BI20" s="2579"/>
      <c r="BJ20" s="2579"/>
      <c r="BK20" s="2579"/>
      <c r="BL20" s="2579"/>
      <c r="BM20" s="2579"/>
      <c r="BN20" s="2579"/>
      <c r="BO20" s="2579"/>
      <c r="BP20" s="2579"/>
    </row>
    <row r="21" spans="1:68" s="2580" customFormat="1" ht="21.75" customHeight="1" x14ac:dyDescent="0.25">
      <c r="A21" s="2574" t="s">
        <v>23</v>
      </c>
      <c r="B21" s="2575" t="s">
        <v>1119</v>
      </c>
      <c r="C21" s="2576">
        <f t="shared" ref="C21:C22" si="4">SUM(D21:K21)</f>
        <v>16000</v>
      </c>
      <c r="D21" s="2577"/>
      <c r="E21" s="2577"/>
      <c r="F21" s="2577"/>
      <c r="G21" s="2577"/>
      <c r="H21" s="2577"/>
      <c r="I21" s="2577"/>
      <c r="J21" s="2577">
        <v>16000</v>
      </c>
      <c r="K21" s="2577"/>
      <c r="L21" s="2577">
        <f t="shared" ref="L21:L22" si="5">+M21+P21</f>
        <v>2000</v>
      </c>
      <c r="M21" s="2577">
        <f t="shared" ref="M21:M22" si="6">N21+O21</f>
        <v>2000</v>
      </c>
      <c r="N21" s="2577">
        <v>2000</v>
      </c>
      <c r="O21" s="2577"/>
      <c r="P21" s="2578">
        <f t="shared" ref="P21:P22" si="7">Q21+R21</f>
        <v>0</v>
      </c>
      <c r="Q21" s="2578"/>
      <c r="R21" s="2578"/>
      <c r="S21" s="2577">
        <f t="shared" ref="S21:S22" si="8">SUM(T21:AC21)</f>
        <v>4067.16</v>
      </c>
      <c r="T21" s="2578"/>
      <c r="U21" s="2578"/>
      <c r="V21" s="2578"/>
      <c r="W21" s="2578"/>
      <c r="X21" s="2578"/>
      <c r="Y21" s="2578"/>
      <c r="Z21" s="2577">
        <v>4067.16</v>
      </c>
      <c r="AA21" s="2577"/>
      <c r="AB21" s="2577"/>
      <c r="AC21" s="2577"/>
      <c r="AD21" s="2577">
        <f t="shared" ref="AD21:AD22" si="9">AE21+AF21</f>
        <v>0</v>
      </c>
      <c r="AE21" s="2577"/>
      <c r="AF21" s="2577"/>
      <c r="AG21" s="2577">
        <f t="shared" ref="AG21:AG22" si="10">SUM(AH21:AQ21)</f>
        <v>0</v>
      </c>
      <c r="AH21" s="2577"/>
      <c r="AI21" s="2577"/>
      <c r="AJ21" s="2577"/>
      <c r="AK21" s="2577"/>
      <c r="AL21" s="2577"/>
      <c r="AM21" s="2577"/>
      <c r="AN21" s="2577"/>
      <c r="AO21" s="2577"/>
      <c r="AP21" s="2577"/>
      <c r="AQ21" s="2577"/>
      <c r="AR21" s="2577">
        <f>C21+L21-S21</f>
        <v>13932.84</v>
      </c>
      <c r="AS21" s="2577"/>
      <c r="AT21" s="2579"/>
      <c r="AU21" s="2579"/>
      <c r="AV21" s="2579"/>
      <c r="AW21" s="2579"/>
      <c r="AX21" s="2579"/>
      <c r="AY21" s="2579"/>
      <c r="AZ21" s="2579"/>
      <c r="BA21" s="2579"/>
      <c r="BB21" s="2579"/>
      <c r="BC21" s="2579"/>
      <c r="BD21" s="2579"/>
      <c r="BE21" s="2579"/>
      <c r="BF21" s="2579"/>
      <c r="BG21" s="2579"/>
      <c r="BH21" s="2579"/>
      <c r="BI21" s="2579"/>
      <c r="BJ21" s="2579"/>
      <c r="BK21" s="2579"/>
      <c r="BL21" s="2579"/>
      <c r="BM21" s="2579"/>
      <c r="BN21" s="2579"/>
      <c r="BO21" s="2579"/>
      <c r="BP21" s="2579"/>
    </row>
    <row r="22" spans="1:68" s="2580" customFormat="1" ht="21.75" customHeight="1" x14ac:dyDescent="0.25">
      <c r="A22" s="2574" t="s">
        <v>23</v>
      </c>
      <c r="B22" s="2575" t="s">
        <v>502</v>
      </c>
      <c r="C22" s="2576">
        <f t="shared" si="4"/>
        <v>0</v>
      </c>
      <c r="D22" s="2577"/>
      <c r="E22" s="2577"/>
      <c r="F22" s="2577"/>
      <c r="G22" s="2577"/>
      <c r="H22" s="2577"/>
      <c r="I22" s="2577"/>
      <c r="J22" s="2577"/>
      <c r="K22" s="2577"/>
      <c r="L22" s="2577">
        <f t="shared" si="5"/>
        <v>0</v>
      </c>
      <c r="M22" s="2577">
        <f t="shared" si="6"/>
        <v>0</v>
      </c>
      <c r="N22" s="2577"/>
      <c r="O22" s="2577"/>
      <c r="P22" s="2578">
        <f t="shared" si="7"/>
        <v>0</v>
      </c>
      <c r="Q22" s="2578"/>
      <c r="R22" s="2578"/>
      <c r="S22" s="2577">
        <f t="shared" si="8"/>
        <v>0</v>
      </c>
      <c r="T22" s="2578"/>
      <c r="U22" s="2578"/>
      <c r="V22" s="2578"/>
      <c r="W22" s="2578"/>
      <c r="X22" s="2578"/>
      <c r="Y22" s="2578"/>
      <c r="Z22" s="2577"/>
      <c r="AA22" s="2577"/>
      <c r="AB22" s="2577"/>
      <c r="AC22" s="2577"/>
      <c r="AD22" s="2577">
        <f t="shared" si="9"/>
        <v>0</v>
      </c>
      <c r="AE22" s="2577"/>
      <c r="AF22" s="2577"/>
      <c r="AG22" s="2577">
        <f t="shared" si="10"/>
        <v>0</v>
      </c>
      <c r="AH22" s="2577"/>
      <c r="AI22" s="2577"/>
      <c r="AJ22" s="2577"/>
      <c r="AK22" s="2577"/>
      <c r="AL22" s="2577"/>
      <c r="AM22" s="2577"/>
      <c r="AN22" s="2577"/>
      <c r="AO22" s="2577"/>
      <c r="AP22" s="2577"/>
      <c r="AQ22" s="2577"/>
      <c r="AR22" s="2577"/>
      <c r="AS22" s="2577"/>
      <c r="AT22" s="2579"/>
      <c r="AU22" s="2579"/>
      <c r="AV22" s="2579"/>
      <c r="AW22" s="2579"/>
      <c r="AX22" s="2579"/>
      <c r="AY22" s="2579"/>
      <c r="AZ22" s="2579"/>
      <c r="BA22" s="2579"/>
      <c r="BB22" s="2579"/>
      <c r="BC22" s="2579"/>
      <c r="BD22" s="2579"/>
      <c r="BE22" s="2579"/>
      <c r="BF22" s="2579"/>
      <c r="BG22" s="2579"/>
      <c r="BH22" s="2579"/>
      <c r="BI22" s="2579"/>
      <c r="BJ22" s="2579"/>
      <c r="BK22" s="2579"/>
      <c r="BL22" s="2579"/>
      <c r="BM22" s="2579"/>
      <c r="BN22" s="2579"/>
      <c r="BO22" s="2579"/>
      <c r="BP22" s="2579"/>
    </row>
    <row r="23" spans="1:68" s="2596" customFormat="1" ht="285" x14ac:dyDescent="0.25">
      <c r="A23" s="2564">
        <v>3</v>
      </c>
      <c r="B23" s="2571" t="s">
        <v>1417</v>
      </c>
      <c r="C23" s="2566">
        <f>C24+C27</f>
        <v>110000</v>
      </c>
      <c r="D23" s="2566">
        <f t="shared" ref="D23:L23" si="11">D24+D27</f>
        <v>0</v>
      </c>
      <c r="E23" s="2566">
        <f t="shared" si="11"/>
        <v>0</v>
      </c>
      <c r="F23" s="2566">
        <f t="shared" si="11"/>
        <v>0</v>
      </c>
      <c r="G23" s="2566">
        <f t="shared" si="11"/>
        <v>0</v>
      </c>
      <c r="H23" s="2566">
        <f t="shared" si="11"/>
        <v>0</v>
      </c>
      <c r="I23" s="2566">
        <f t="shared" si="11"/>
        <v>0</v>
      </c>
      <c r="J23" s="2566">
        <f t="shared" si="11"/>
        <v>0</v>
      </c>
      <c r="K23" s="2566">
        <f t="shared" si="11"/>
        <v>110000</v>
      </c>
      <c r="L23" s="2566">
        <f t="shared" si="11"/>
        <v>0</v>
      </c>
      <c r="M23" s="2566">
        <f>M24+M27</f>
        <v>300000</v>
      </c>
      <c r="N23" s="2566"/>
      <c r="O23" s="2566">
        <f>O24+O27</f>
        <v>300000</v>
      </c>
      <c r="P23" s="2567"/>
      <c r="Q23" s="2567"/>
      <c r="R23" s="2567"/>
      <c r="S23" s="2566">
        <f>S24+S27</f>
        <v>171319.4</v>
      </c>
      <c r="T23" s="2567"/>
      <c r="U23" s="2567"/>
      <c r="V23" s="2567"/>
      <c r="W23" s="2567"/>
      <c r="X23" s="2567"/>
      <c r="Y23" s="2567"/>
      <c r="Z23" s="2566"/>
      <c r="AA23" s="2566"/>
      <c r="AB23" s="2566"/>
      <c r="AC23" s="2566">
        <f>AC24+AC27</f>
        <v>171319.4</v>
      </c>
      <c r="AD23" s="2566"/>
      <c r="AE23" s="2566"/>
      <c r="AF23" s="2566">
        <f>AF24+AF27</f>
        <v>183570</v>
      </c>
      <c r="AG23" s="2566"/>
      <c r="AH23" s="2566"/>
      <c r="AI23" s="2566"/>
      <c r="AJ23" s="2566"/>
      <c r="AK23" s="2566"/>
      <c r="AL23" s="2566"/>
      <c r="AM23" s="2566"/>
      <c r="AN23" s="2566"/>
      <c r="AO23" s="2566"/>
      <c r="AP23" s="2566"/>
      <c r="AQ23" s="2566"/>
      <c r="AR23" s="2566"/>
      <c r="AS23" s="2566"/>
      <c r="AT23" s="2595"/>
      <c r="AU23" s="2595"/>
      <c r="AV23" s="2595"/>
      <c r="AW23" s="2595"/>
      <c r="AX23" s="2595"/>
      <c r="AY23" s="2595"/>
      <c r="AZ23" s="2595"/>
      <c r="BA23" s="2595"/>
      <c r="BB23" s="2595"/>
      <c r="BC23" s="2595"/>
      <c r="BD23" s="2595"/>
      <c r="BE23" s="2595"/>
      <c r="BF23" s="2595"/>
      <c r="BG23" s="2595"/>
      <c r="BH23" s="2595"/>
      <c r="BI23" s="2595"/>
      <c r="BJ23" s="2595"/>
      <c r="BK23" s="2595"/>
      <c r="BL23" s="2595"/>
      <c r="BM23" s="2595"/>
      <c r="BN23" s="2595"/>
      <c r="BO23" s="2595"/>
      <c r="BP23" s="2595"/>
    </row>
    <row r="24" spans="1:68" s="2583" customFormat="1" ht="165" x14ac:dyDescent="0.25">
      <c r="A24" s="2581" t="s">
        <v>573</v>
      </c>
      <c r="B24" s="2074" t="s">
        <v>2092</v>
      </c>
      <c r="C24" s="2577">
        <f>C25+C26</f>
        <v>0</v>
      </c>
      <c r="D24" s="2577"/>
      <c r="E24" s="2566"/>
      <c r="F24" s="2566"/>
      <c r="G24" s="2577"/>
      <c r="H24" s="2577"/>
      <c r="I24" s="2577"/>
      <c r="J24" s="2577"/>
      <c r="K24" s="2577"/>
      <c r="L24" s="2577"/>
      <c r="M24" s="2577">
        <f>M25+M26</f>
        <v>300000</v>
      </c>
      <c r="N24" s="2577"/>
      <c r="O24" s="2577">
        <f>O25+O26</f>
        <v>300000</v>
      </c>
      <c r="P24" s="2578"/>
      <c r="Q24" s="2567"/>
      <c r="R24" s="2567"/>
      <c r="S24" s="2577">
        <f>S25+S26</f>
        <v>116430</v>
      </c>
      <c r="T24" s="2578"/>
      <c r="U24" s="2578"/>
      <c r="V24" s="2578"/>
      <c r="W24" s="2578"/>
      <c r="X24" s="2578"/>
      <c r="Y24" s="2578"/>
      <c r="Z24" s="2577"/>
      <c r="AA24" s="2577"/>
      <c r="AB24" s="2577">
        <f>AB25+AB26</f>
        <v>0</v>
      </c>
      <c r="AC24" s="2577">
        <f>AC25+AC26</f>
        <v>116430</v>
      </c>
      <c r="AD24" s="2577"/>
      <c r="AE24" s="2577"/>
      <c r="AF24" s="2577">
        <f>AF25+AF26</f>
        <v>183570</v>
      </c>
      <c r="AG24" s="2577"/>
      <c r="AH24" s="2577"/>
      <c r="AI24" s="2577"/>
      <c r="AJ24" s="2577"/>
      <c r="AK24" s="2566"/>
      <c r="AL24" s="2566"/>
      <c r="AM24" s="2577"/>
      <c r="AN24" s="2577"/>
      <c r="AO24" s="2577"/>
      <c r="AP24" s="2577"/>
      <c r="AQ24" s="2577"/>
      <c r="AR24" s="2577"/>
      <c r="AS24" s="2577"/>
      <c r="AT24" s="2582"/>
      <c r="AU24" s="2582"/>
      <c r="AV24" s="2582"/>
      <c r="AW24" s="2582"/>
      <c r="AX24" s="2582"/>
      <c r="AY24" s="2582"/>
      <c r="AZ24" s="2582"/>
      <c r="BA24" s="2582"/>
      <c r="BB24" s="2582"/>
      <c r="BC24" s="2582"/>
      <c r="BD24" s="2582"/>
      <c r="BE24" s="2582"/>
      <c r="BF24" s="2582"/>
      <c r="BG24" s="2582"/>
      <c r="BH24" s="2582"/>
      <c r="BI24" s="2582"/>
      <c r="BJ24" s="2582"/>
      <c r="BK24" s="2582"/>
      <c r="BL24" s="2582"/>
      <c r="BM24" s="2582"/>
      <c r="BN24" s="2582"/>
      <c r="BO24" s="2582"/>
      <c r="BP24" s="2582"/>
    </row>
    <row r="25" spans="1:68" s="2583" customFormat="1" ht="15" x14ac:dyDescent="0.25">
      <c r="A25" s="2581" t="s">
        <v>1000</v>
      </c>
      <c r="B25" s="2575" t="s">
        <v>1118</v>
      </c>
      <c r="C25" s="2577">
        <f>D25+E25</f>
        <v>0</v>
      </c>
      <c r="D25" s="2577"/>
      <c r="E25" s="2566"/>
      <c r="F25" s="2566"/>
      <c r="G25" s="2577"/>
      <c r="H25" s="2577"/>
      <c r="I25" s="2577"/>
      <c r="J25" s="2577"/>
      <c r="K25" s="2577"/>
      <c r="L25" s="2577"/>
      <c r="M25" s="2577">
        <f>N25+O25</f>
        <v>286000</v>
      </c>
      <c r="N25" s="2577"/>
      <c r="O25" s="2577">
        <v>286000</v>
      </c>
      <c r="P25" s="2578"/>
      <c r="Q25" s="2567"/>
      <c r="R25" s="2567"/>
      <c r="S25" s="2577">
        <f>SUM(Z25:AC25)</f>
        <v>116430</v>
      </c>
      <c r="T25" s="2578"/>
      <c r="U25" s="2578"/>
      <c r="V25" s="2578"/>
      <c r="W25" s="2578"/>
      <c r="X25" s="2578"/>
      <c r="Y25" s="2578"/>
      <c r="Z25" s="2577"/>
      <c r="AA25" s="2577"/>
      <c r="AB25" s="2566"/>
      <c r="AC25" s="2577">
        <f>100800+15630</f>
        <v>116430</v>
      </c>
      <c r="AD25" s="2577"/>
      <c r="AE25" s="2577"/>
      <c r="AF25" s="2577">
        <f>M25-S25</f>
        <v>169570</v>
      </c>
      <c r="AG25" s="2577"/>
      <c r="AH25" s="2577"/>
      <c r="AI25" s="2577"/>
      <c r="AJ25" s="2577"/>
      <c r="AK25" s="2566"/>
      <c r="AL25" s="2566"/>
      <c r="AM25" s="2577"/>
      <c r="AN25" s="2577"/>
      <c r="AO25" s="2577"/>
      <c r="AP25" s="2577"/>
      <c r="AQ25" s="2577"/>
      <c r="AR25" s="2577"/>
      <c r="AS25" s="2577"/>
      <c r="AT25" s="2582"/>
      <c r="AU25" s="2582"/>
      <c r="AV25" s="2582"/>
      <c r="AW25" s="2582"/>
      <c r="AX25" s="2582"/>
      <c r="AY25" s="2582"/>
      <c r="AZ25" s="2582"/>
      <c r="BA25" s="2582"/>
      <c r="BB25" s="2582"/>
      <c r="BC25" s="2582"/>
      <c r="BD25" s="2582"/>
      <c r="BE25" s="2582"/>
      <c r="BF25" s="2582"/>
      <c r="BG25" s="2582"/>
      <c r="BH25" s="2582"/>
      <c r="BI25" s="2582"/>
      <c r="BJ25" s="2582"/>
      <c r="BK25" s="2582"/>
      <c r="BL25" s="2582"/>
      <c r="BM25" s="2582"/>
      <c r="BN25" s="2582"/>
      <c r="BO25" s="2582"/>
      <c r="BP25" s="2582"/>
    </row>
    <row r="26" spans="1:68" s="2583" customFormat="1" ht="15" x14ac:dyDescent="0.25">
      <c r="A26" s="2581" t="s">
        <v>1000</v>
      </c>
      <c r="B26" s="2575" t="s">
        <v>1119</v>
      </c>
      <c r="C26" s="2577">
        <f>D26+E26</f>
        <v>0</v>
      </c>
      <c r="D26" s="2577"/>
      <c r="E26" s="2566"/>
      <c r="F26" s="2566"/>
      <c r="G26" s="2577"/>
      <c r="H26" s="2577"/>
      <c r="I26" s="2577"/>
      <c r="J26" s="2577"/>
      <c r="K26" s="2577"/>
      <c r="L26" s="2577"/>
      <c r="M26" s="2577">
        <f>N26+O26</f>
        <v>14000</v>
      </c>
      <c r="N26" s="2577"/>
      <c r="O26" s="2577">
        <v>14000</v>
      </c>
      <c r="P26" s="2578"/>
      <c r="Q26" s="2567"/>
      <c r="R26" s="2567"/>
      <c r="S26" s="2577"/>
      <c r="T26" s="2578"/>
      <c r="U26" s="2578"/>
      <c r="V26" s="2578"/>
      <c r="W26" s="2578"/>
      <c r="X26" s="2578"/>
      <c r="Y26" s="2578"/>
      <c r="Z26" s="2577"/>
      <c r="AA26" s="2577"/>
      <c r="AB26" s="2566"/>
      <c r="AC26" s="2566"/>
      <c r="AD26" s="2577"/>
      <c r="AE26" s="2577"/>
      <c r="AF26" s="2577">
        <f>M26-S26</f>
        <v>14000</v>
      </c>
      <c r="AG26" s="2577"/>
      <c r="AH26" s="2577"/>
      <c r="AI26" s="2577"/>
      <c r="AJ26" s="2577"/>
      <c r="AK26" s="2566"/>
      <c r="AL26" s="2566"/>
      <c r="AM26" s="2577"/>
      <c r="AN26" s="2577"/>
      <c r="AO26" s="2577"/>
      <c r="AP26" s="2577"/>
      <c r="AQ26" s="2577"/>
      <c r="AR26" s="2577"/>
      <c r="AS26" s="2577"/>
      <c r="AT26" s="2582"/>
      <c r="AU26" s="2582"/>
      <c r="AV26" s="2582"/>
      <c r="AW26" s="2582"/>
      <c r="AX26" s="2582"/>
      <c r="AY26" s="2582"/>
      <c r="AZ26" s="2582"/>
      <c r="BA26" s="2582"/>
      <c r="BB26" s="2582"/>
      <c r="BC26" s="2582"/>
      <c r="BD26" s="2582"/>
      <c r="BE26" s="2582"/>
      <c r="BF26" s="2582"/>
      <c r="BG26" s="2582"/>
      <c r="BH26" s="2582"/>
      <c r="BI26" s="2582"/>
      <c r="BJ26" s="2582"/>
      <c r="BK26" s="2582"/>
      <c r="BL26" s="2582"/>
      <c r="BM26" s="2582"/>
      <c r="BN26" s="2582"/>
      <c r="BO26" s="2582"/>
      <c r="BP26" s="2582"/>
    </row>
    <row r="27" spans="1:68" s="2583" customFormat="1" ht="105" x14ac:dyDescent="0.25">
      <c r="A27" s="2581" t="s">
        <v>574</v>
      </c>
      <c r="B27" s="2074" t="s">
        <v>2093</v>
      </c>
      <c r="C27" s="2577">
        <f>C28+C29</f>
        <v>110000</v>
      </c>
      <c r="D27" s="2577"/>
      <c r="E27" s="2566"/>
      <c r="F27" s="2566"/>
      <c r="G27" s="2577"/>
      <c r="H27" s="2577"/>
      <c r="I27" s="2577"/>
      <c r="J27" s="2577"/>
      <c r="K27" s="2577">
        <f>K28+K29</f>
        <v>110000</v>
      </c>
      <c r="L27" s="2577"/>
      <c r="M27" s="2577">
        <f>M28+M29</f>
        <v>0</v>
      </c>
      <c r="N27" s="2577"/>
      <c r="O27" s="2577"/>
      <c r="P27" s="2578"/>
      <c r="Q27" s="2567"/>
      <c r="R27" s="2567"/>
      <c r="S27" s="2577">
        <f>S28+S29</f>
        <v>54889.4</v>
      </c>
      <c r="T27" s="2578"/>
      <c r="U27" s="2578"/>
      <c r="V27" s="2578"/>
      <c r="W27" s="2578"/>
      <c r="X27" s="2578"/>
      <c r="Y27" s="2578"/>
      <c r="Z27" s="2577"/>
      <c r="AA27" s="2577"/>
      <c r="AB27" s="2566"/>
      <c r="AC27" s="2577">
        <f>AC28+AC29</f>
        <v>54889.4</v>
      </c>
      <c r="AD27" s="2577"/>
      <c r="AE27" s="2577"/>
      <c r="AF27" s="2577"/>
      <c r="AG27" s="2577"/>
      <c r="AH27" s="2577"/>
      <c r="AI27" s="2577"/>
      <c r="AJ27" s="2577"/>
      <c r="AK27" s="2566"/>
      <c r="AL27" s="2566"/>
      <c r="AM27" s="2577"/>
      <c r="AN27" s="2577"/>
      <c r="AO27" s="2577"/>
      <c r="AP27" s="2577"/>
      <c r="AQ27" s="2577"/>
      <c r="AR27" s="2577">
        <f>AR28+AR29</f>
        <v>55110.6</v>
      </c>
      <c r="AS27" s="2577"/>
      <c r="AT27" s="2582"/>
      <c r="AU27" s="2582"/>
      <c r="AV27" s="2582"/>
      <c r="AW27" s="2582"/>
      <c r="AX27" s="2582"/>
      <c r="AY27" s="2582"/>
      <c r="AZ27" s="2582"/>
      <c r="BA27" s="2582"/>
      <c r="BB27" s="2582"/>
      <c r="BC27" s="2582"/>
      <c r="BD27" s="2582"/>
      <c r="BE27" s="2582"/>
      <c r="BF27" s="2582"/>
      <c r="BG27" s="2582"/>
      <c r="BH27" s="2582"/>
      <c r="BI27" s="2582"/>
      <c r="BJ27" s="2582"/>
      <c r="BK27" s="2582"/>
      <c r="BL27" s="2582"/>
      <c r="BM27" s="2582"/>
      <c r="BN27" s="2582"/>
      <c r="BO27" s="2582"/>
      <c r="BP27" s="2582"/>
    </row>
    <row r="28" spans="1:68" s="2583" customFormat="1" ht="20.25" customHeight="1" x14ac:dyDescent="0.25">
      <c r="A28" s="2581" t="s">
        <v>1000</v>
      </c>
      <c r="B28" s="2575" t="s">
        <v>1118</v>
      </c>
      <c r="C28" s="2576">
        <f>J28+K28</f>
        <v>110000</v>
      </c>
      <c r="D28" s="2577"/>
      <c r="E28" s="2566"/>
      <c r="F28" s="2566"/>
      <c r="G28" s="2577"/>
      <c r="H28" s="2577"/>
      <c r="I28" s="2577"/>
      <c r="J28" s="2577"/>
      <c r="K28" s="2577">
        <v>110000</v>
      </c>
      <c r="L28" s="2577"/>
      <c r="M28" s="2577">
        <f>N28+O28</f>
        <v>0</v>
      </c>
      <c r="N28" s="2577"/>
      <c r="O28" s="2577"/>
      <c r="P28" s="2578"/>
      <c r="Q28" s="2567"/>
      <c r="R28" s="2567"/>
      <c r="S28" s="2577">
        <f>SUM(Z28:AC28)</f>
        <v>54889.4</v>
      </c>
      <c r="T28" s="2578"/>
      <c r="U28" s="2578"/>
      <c r="V28" s="2578"/>
      <c r="W28" s="2578"/>
      <c r="X28" s="2578"/>
      <c r="Y28" s="2578"/>
      <c r="Z28" s="2577"/>
      <c r="AA28" s="2577"/>
      <c r="AB28" s="2566"/>
      <c r="AC28" s="2577">
        <v>54889.4</v>
      </c>
      <c r="AD28" s="2577"/>
      <c r="AE28" s="2577"/>
      <c r="AF28" s="2577"/>
      <c r="AG28" s="2577">
        <f>SUM(AN28:AQ28)</f>
        <v>0</v>
      </c>
      <c r="AH28" s="2577"/>
      <c r="AI28" s="2577"/>
      <c r="AJ28" s="2577"/>
      <c r="AK28" s="2566"/>
      <c r="AL28" s="2566"/>
      <c r="AM28" s="2577"/>
      <c r="AN28" s="2577"/>
      <c r="AO28" s="2577"/>
      <c r="AP28" s="2577"/>
      <c r="AQ28" s="2577"/>
      <c r="AR28" s="2577">
        <f>C28-S28</f>
        <v>55110.6</v>
      </c>
      <c r="AS28" s="2577"/>
      <c r="AT28" s="2582"/>
      <c r="AU28" s="2582"/>
      <c r="AV28" s="2582"/>
      <c r="AW28" s="2582"/>
      <c r="AX28" s="2582"/>
      <c r="AY28" s="2582"/>
      <c r="AZ28" s="2582"/>
      <c r="BA28" s="2582"/>
      <c r="BB28" s="2582"/>
      <c r="BC28" s="2582"/>
      <c r="BD28" s="2582"/>
      <c r="BE28" s="2582"/>
      <c r="BF28" s="2582"/>
      <c r="BG28" s="2582"/>
      <c r="BH28" s="2582"/>
      <c r="BI28" s="2582"/>
      <c r="BJ28" s="2582"/>
      <c r="BK28" s="2582"/>
      <c r="BL28" s="2582"/>
      <c r="BM28" s="2582"/>
      <c r="BN28" s="2582"/>
      <c r="BO28" s="2582"/>
      <c r="BP28" s="2582"/>
    </row>
    <row r="29" spans="1:68" s="2583" customFormat="1" ht="20.25" customHeight="1" x14ac:dyDescent="0.25">
      <c r="A29" s="2581" t="s">
        <v>1000</v>
      </c>
      <c r="B29" s="2575" t="s">
        <v>1119</v>
      </c>
      <c r="C29" s="2576"/>
      <c r="D29" s="2577"/>
      <c r="E29" s="2566"/>
      <c r="F29" s="2566"/>
      <c r="G29" s="2577"/>
      <c r="H29" s="2577"/>
      <c r="I29" s="2577"/>
      <c r="J29" s="2577"/>
      <c r="K29" s="2577"/>
      <c r="L29" s="2577"/>
      <c r="M29" s="2577"/>
      <c r="N29" s="2577"/>
      <c r="O29" s="2577"/>
      <c r="P29" s="2578"/>
      <c r="Q29" s="2567"/>
      <c r="R29" s="2567"/>
      <c r="S29" s="2577">
        <f>SUM(Z29:AC29)</f>
        <v>0</v>
      </c>
      <c r="T29" s="2578"/>
      <c r="U29" s="2578"/>
      <c r="V29" s="2578"/>
      <c r="W29" s="2578"/>
      <c r="X29" s="2578"/>
      <c r="Y29" s="2578"/>
      <c r="Z29" s="2577"/>
      <c r="AA29" s="2577"/>
      <c r="AB29" s="2566"/>
      <c r="AC29" s="2566"/>
      <c r="AD29" s="2577"/>
      <c r="AE29" s="2577"/>
      <c r="AF29" s="2577"/>
      <c r="AG29" s="2577"/>
      <c r="AH29" s="2577"/>
      <c r="AI29" s="2577"/>
      <c r="AJ29" s="2577"/>
      <c r="AK29" s="2566"/>
      <c r="AL29" s="2566"/>
      <c r="AM29" s="2577"/>
      <c r="AN29" s="2577"/>
      <c r="AO29" s="2577"/>
      <c r="AP29" s="2577"/>
      <c r="AQ29" s="2577"/>
      <c r="AR29" s="2577"/>
      <c r="AS29" s="2577"/>
      <c r="AT29" s="2582"/>
      <c r="AU29" s="2582"/>
      <c r="AV29" s="2582"/>
      <c r="AW29" s="2582"/>
      <c r="AX29" s="2582"/>
      <c r="AY29" s="2582"/>
      <c r="AZ29" s="2582"/>
      <c r="BA29" s="2582"/>
      <c r="BB29" s="2582"/>
      <c r="BC29" s="2582"/>
      <c r="BD29" s="2582"/>
      <c r="BE29" s="2582"/>
      <c r="BF29" s="2582"/>
      <c r="BG29" s="2582"/>
      <c r="BH29" s="2582"/>
      <c r="BI29" s="2582"/>
      <c r="BJ29" s="2582"/>
      <c r="BK29" s="2582"/>
      <c r="BL29" s="2582"/>
      <c r="BM29" s="2582"/>
      <c r="BN29" s="2582"/>
      <c r="BO29" s="2582"/>
      <c r="BP29" s="2582"/>
    </row>
    <row r="30" spans="1:68" s="2583" customFormat="1" ht="142.5" x14ac:dyDescent="0.25">
      <c r="A30" s="2581">
        <v>4</v>
      </c>
      <c r="B30" s="2584" t="s">
        <v>1418</v>
      </c>
      <c r="C30" s="2576">
        <f>C31</f>
        <v>123887.2</v>
      </c>
      <c r="D30" s="2577"/>
      <c r="E30" s="2566"/>
      <c r="F30" s="2566"/>
      <c r="G30" s="2577"/>
      <c r="H30" s="2577"/>
      <c r="I30" s="2577"/>
      <c r="J30" s="2577"/>
      <c r="K30" s="2576">
        <f>K31</f>
        <v>123887.2</v>
      </c>
      <c r="L30" s="2577"/>
      <c r="M30" s="2577"/>
      <c r="N30" s="2577"/>
      <c r="O30" s="2577"/>
      <c r="P30" s="2578"/>
      <c r="Q30" s="2567"/>
      <c r="R30" s="2567"/>
      <c r="S30" s="2577">
        <f>S31</f>
        <v>0</v>
      </c>
      <c r="T30" s="2578"/>
      <c r="U30" s="2578"/>
      <c r="V30" s="2578"/>
      <c r="W30" s="2578"/>
      <c r="X30" s="2578"/>
      <c r="Y30" s="2578"/>
      <c r="Z30" s="2577"/>
      <c r="AA30" s="2577"/>
      <c r="AB30" s="2566"/>
      <c r="AC30" s="2577">
        <f>AC31</f>
        <v>0</v>
      </c>
      <c r="AD30" s="2577"/>
      <c r="AE30" s="2577"/>
      <c r="AF30" s="2577"/>
      <c r="AG30" s="2577"/>
      <c r="AH30" s="2577"/>
      <c r="AI30" s="2577"/>
      <c r="AJ30" s="2577"/>
      <c r="AK30" s="2566"/>
      <c r="AL30" s="2566"/>
      <c r="AM30" s="2577"/>
      <c r="AN30" s="2577"/>
      <c r="AO30" s="2577"/>
      <c r="AP30" s="2577"/>
      <c r="AQ30" s="2577"/>
      <c r="AR30" s="2577">
        <f>AR31</f>
        <v>123887.2</v>
      </c>
      <c r="AS30" s="2577"/>
      <c r="AT30" s="2582"/>
      <c r="AU30" s="2582"/>
      <c r="AV30" s="2582"/>
      <c r="AW30" s="2582"/>
      <c r="AX30" s="2582"/>
      <c r="AY30" s="2582"/>
      <c r="AZ30" s="2582"/>
      <c r="BA30" s="2582"/>
      <c r="BB30" s="2582"/>
      <c r="BC30" s="2582"/>
      <c r="BD30" s="2582"/>
      <c r="BE30" s="2582"/>
      <c r="BF30" s="2582"/>
      <c r="BG30" s="2582"/>
      <c r="BH30" s="2582"/>
      <c r="BI30" s="2582"/>
      <c r="BJ30" s="2582"/>
      <c r="BK30" s="2582"/>
      <c r="BL30" s="2582"/>
      <c r="BM30" s="2582"/>
      <c r="BN30" s="2582"/>
      <c r="BO30" s="2582"/>
      <c r="BP30" s="2582"/>
    </row>
    <row r="31" spans="1:68" s="2583" customFormat="1" ht="45" x14ac:dyDescent="0.25">
      <c r="A31" s="2581"/>
      <c r="B31" s="2585" t="s">
        <v>2094</v>
      </c>
      <c r="C31" s="2577">
        <f>C32+C33</f>
        <v>123887.2</v>
      </c>
      <c r="D31" s="2577"/>
      <c r="E31" s="2566"/>
      <c r="F31" s="2566"/>
      <c r="G31" s="2577"/>
      <c r="H31" s="2577"/>
      <c r="I31" s="2577"/>
      <c r="J31" s="2577"/>
      <c r="K31" s="2577">
        <f>K32+K33</f>
        <v>123887.2</v>
      </c>
      <c r="L31" s="2577"/>
      <c r="M31" s="2577"/>
      <c r="N31" s="2577"/>
      <c r="O31" s="2577"/>
      <c r="P31" s="2578"/>
      <c r="Q31" s="2567"/>
      <c r="R31" s="2567"/>
      <c r="S31" s="2577">
        <f>S32+S33</f>
        <v>0</v>
      </c>
      <c r="T31" s="2578"/>
      <c r="U31" s="2578"/>
      <c r="V31" s="2578"/>
      <c r="W31" s="2578"/>
      <c r="X31" s="2578"/>
      <c r="Y31" s="2578"/>
      <c r="Z31" s="2577"/>
      <c r="AA31" s="2577"/>
      <c r="AB31" s="2566"/>
      <c r="AC31" s="2577">
        <f>AC32+AC33</f>
        <v>0</v>
      </c>
      <c r="AD31" s="2577"/>
      <c r="AE31" s="2577"/>
      <c r="AF31" s="2577"/>
      <c r="AG31" s="2577"/>
      <c r="AH31" s="2577"/>
      <c r="AI31" s="2577"/>
      <c r="AJ31" s="2577"/>
      <c r="AK31" s="2566"/>
      <c r="AL31" s="2566"/>
      <c r="AM31" s="2577"/>
      <c r="AN31" s="2577"/>
      <c r="AO31" s="2577"/>
      <c r="AP31" s="2577"/>
      <c r="AQ31" s="2577"/>
      <c r="AR31" s="2577">
        <f>AR32+AR33</f>
        <v>123887.2</v>
      </c>
      <c r="AS31" s="2577"/>
      <c r="AT31" s="2582"/>
      <c r="AU31" s="2582"/>
      <c r="AV31" s="2582"/>
      <c r="AW31" s="2582"/>
      <c r="AX31" s="2582"/>
      <c r="AY31" s="2582"/>
      <c r="AZ31" s="2582"/>
      <c r="BA31" s="2582"/>
      <c r="BB31" s="2582"/>
      <c r="BC31" s="2582"/>
      <c r="BD31" s="2582"/>
      <c r="BE31" s="2582"/>
      <c r="BF31" s="2582"/>
      <c r="BG31" s="2582"/>
      <c r="BH31" s="2582"/>
      <c r="BI31" s="2582"/>
      <c r="BJ31" s="2582"/>
      <c r="BK31" s="2582"/>
      <c r="BL31" s="2582"/>
      <c r="BM31" s="2582"/>
      <c r="BN31" s="2582"/>
      <c r="BO31" s="2582"/>
      <c r="BP31" s="2582"/>
    </row>
    <row r="32" spans="1:68" s="2583" customFormat="1" ht="15" x14ac:dyDescent="0.25">
      <c r="A32" s="2581" t="s">
        <v>1000</v>
      </c>
      <c r="B32" s="2575" t="s">
        <v>1118</v>
      </c>
      <c r="C32" s="2576">
        <f>J32+K32</f>
        <v>102887.2</v>
      </c>
      <c r="D32" s="2577"/>
      <c r="E32" s="2566"/>
      <c r="F32" s="2566"/>
      <c r="G32" s="2577"/>
      <c r="H32" s="2577"/>
      <c r="I32" s="2577"/>
      <c r="J32" s="2577"/>
      <c r="K32" s="2577">
        <v>102887.2</v>
      </c>
      <c r="L32" s="2577"/>
      <c r="M32" s="2577"/>
      <c r="N32" s="2577"/>
      <c r="O32" s="2577"/>
      <c r="P32" s="2578"/>
      <c r="Q32" s="2567"/>
      <c r="R32" s="2567"/>
      <c r="S32" s="2577">
        <f>SUM(Z32:AC32)</f>
        <v>0</v>
      </c>
      <c r="T32" s="2578"/>
      <c r="U32" s="2578"/>
      <c r="V32" s="2578"/>
      <c r="W32" s="2578"/>
      <c r="X32" s="2578"/>
      <c r="Y32" s="2578"/>
      <c r="Z32" s="2577"/>
      <c r="AA32" s="2577"/>
      <c r="AB32" s="2566"/>
      <c r="AC32" s="2577">
        <v>0</v>
      </c>
      <c r="AD32" s="2577"/>
      <c r="AE32" s="2577"/>
      <c r="AF32" s="2577"/>
      <c r="AG32" s="2577"/>
      <c r="AH32" s="2577"/>
      <c r="AI32" s="2577"/>
      <c r="AJ32" s="2577"/>
      <c r="AK32" s="2566"/>
      <c r="AL32" s="2566"/>
      <c r="AM32" s="2577"/>
      <c r="AN32" s="2577"/>
      <c r="AO32" s="2577"/>
      <c r="AP32" s="2577"/>
      <c r="AQ32" s="2577"/>
      <c r="AR32" s="2577">
        <f>C32-S32</f>
        <v>102887.2</v>
      </c>
      <c r="AS32" s="2577"/>
      <c r="AT32" s="2582"/>
      <c r="AU32" s="2582"/>
      <c r="AV32" s="2582"/>
      <c r="AW32" s="2582"/>
      <c r="AX32" s="2582"/>
      <c r="AY32" s="2582"/>
      <c r="AZ32" s="2582"/>
      <c r="BA32" s="2582"/>
      <c r="BB32" s="2582"/>
      <c r="BC32" s="2582"/>
      <c r="BD32" s="2582"/>
      <c r="BE32" s="2582"/>
      <c r="BF32" s="2582"/>
      <c r="BG32" s="2582"/>
      <c r="BH32" s="2582"/>
      <c r="BI32" s="2582"/>
      <c r="BJ32" s="2582"/>
      <c r="BK32" s="2582"/>
      <c r="BL32" s="2582"/>
      <c r="BM32" s="2582"/>
      <c r="BN32" s="2582"/>
      <c r="BO32" s="2582"/>
      <c r="BP32" s="2582"/>
    </row>
    <row r="33" spans="1:68" s="2583" customFormat="1" ht="15" x14ac:dyDescent="0.25">
      <c r="A33" s="2581" t="s">
        <v>1000</v>
      </c>
      <c r="B33" s="2575" t="s">
        <v>1119</v>
      </c>
      <c r="C33" s="2576">
        <f>J33+K33</f>
        <v>21000</v>
      </c>
      <c r="D33" s="2577"/>
      <c r="E33" s="2566"/>
      <c r="F33" s="2566"/>
      <c r="G33" s="2577"/>
      <c r="H33" s="2577"/>
      <c r="I33" s="2577"/>
      <c r="J33" s="2577"/>
      <c r="K33" s="2577">
        <v>21000</v>
      </c>
      <c r="L33" s="2577"/>
      <c r="M33" s="2577"/>
      <c r="N33" s="2577"/>
      <c r="O33" s="2577"/>
      <c r="P33" s="2578"/>
      <c r="Q33" s="2567"/>
      <c r="R33" s="2567"/>
      <c r="S33" s="2577">
        <f>SUM(Z33:AC33)</f>
        <v>0</v>
      </c>
      <c r="T33" s="2578"/>
      <c r="U33" s="2578"/>
      <c r="V33" s="2578"/>
      <c r="W33" s="2578"/>
      <c r="X33" s="2578"/>
      <c r="Y33" s="2578"/>
      <c r="Z33" s="2577"/>
      <c r="AA33" s="2577"/>
      <c r="AB33" s="2566"/>
      <c r="AC33" s="2577">
        <v>0</v>
      </c>
      <c r="AD33" s="2577"/>
      <c r="AE33" s="2577"/>
      <c r="AF33" s="2577"/>
      <c r="AG33" s="2577"/>
      <c r="AH33" s="2577"/>
      <c r="AI33" s="2577"/>
      <c r="AJ33" s="2577"/>
      <c r="AK33" s="2566"/>
      <c r="AL33" s="2566"/>
      <c r="AM33" s="2577"/>
      <c r="AN33" s="2577"/>
      <c r="AO33" s="2577"/>
      <c r="AP33" s="2577"/>
      <c r="AQ33" s="2577"/>
      <c r="AR33" s="2577">
        <f>C33-S33</f>
        <v>21000</v>
      </c>
      <c r="AS33" s="2577"/>
      <c r="AT33" s="2582"/>
      <c r="AU33" s="2582"/>
      <c r="AV33" s="2582"/>
      <c r="AW33" s="2582"/>
      <c r="AX33" s="2582"/>
      <c r="AY33" s="2582"/>
      <c r="AZ33" s="2582"/>
      <c r="BA33" s="2582"/>
      <c r="BB33" s="2582"/>
      <c r="BC33" s="2582"/>
      <c r="BD33" s="2582"/>
      <c r="BE33" s="2582"/>
      <c r="BF33" s="2582"/>
      <c r="BG33" s="2582"/>
      <c r="BH33" s="2582"/>
      <c r="BI33" s="2582"/>
      <c r="BJ33" s="2582"/>
      <c r="BK33" s="2582"/>
      <c r="BL33" s="2582"/>
      <c r="BM33" s="2582"/>
      <c r="BN33" s="2582"/>
      <c r="BO33" s="2582"/>
      <c r="BP33" s="2582"/>
    </row>
    <row r="34" spans="1:68" s="2583" customFormat="1" ht="114" x14ac:dyDescent="0.25">
      <c r="A34" s="2581">
        <v>5</v>
      </c>
      <c r="B34" s="2584" t="s">
        <v>1419</v>
      </c>
      <c r="C34" s="2576">
        <f>C35</f>
        <v>0</v>
      </c>
      <c r="D34" s="2577"/>
      <c r="E34" s="2566"/>
      <c r="F34" s="2566"/>
      <c r="G34" s="2577"/>
      <c r="H34" s="2577"/>
      <c r="I34" s="2577"/>
      <c r="J34" s="2577"/>
      <c r="K34" s="2576">
        <f>K35</f>
        <v>0</v>
      </c>
      <c r="L34" s="2577">
        <f>L35</f>
        <v>35000</v>
      </c>
      <c r="M34" s="2577">
        <f>M35</f>
        <v>35000</v>
      </c>
      <c r="N34" s="2577"/>
      <c r="O34" s="2577">
        <f>O35</f>
        <v>35000</v>
      </c>
      <c r="P34" s="2578">
        <f>P35</f>
        <v>0</v>
      </c>
      <c r="Q34" s="2578"/>
      <c r="R34" s="2578">
        <f>R35</f>
        <v>0</v>
      </c>
      <c r="S34" s="2577">
        <f>S35</f>
        <v>13850</v>
      </c>
      <c r="T34" s="2578"/>
      <c r="U34" s="2578"/>
      <c r="V34" s="2578"/>
      <c r="W34" s="2578"/>
      <c r="X34" s="2578"/>
      <c r="Y34" s="2578"/>
      <c r="Z34" s="2577"/>
      <c r="AA34" s="2577"/>
      <c r="AB34" s="2566"/>
      <c r="AC34" s="2577">
        <f>AC35</f>
        <v>13850</v>
      </c>
      <c r="AD34" s="2577"/>
      <c r="AE34" s="2577"/>
      <c r="AF34" s="2577"/>
      <c r="AG34" s="2577"/>
      <c r="AH34" s="2577"/>
      <c r="AI34" s="2577"/>
      <c r="AJ34" s="2577"/>
      <c r="AK34" s="2566"/>
      <c r="AL34" s="2566"/>
      <c r="AM34" s="2577"/>
      <c r="AN34" s="2577"/>
      <c r="AO34" s="2577"/>
      <c r="AP34" s="2577"/>
      <c r="AQ34" s="2577"/>
      <c r="AR34" s="2577">
        <f>AR35</f>
        <v>21150</v>
      </c>
      <c r="AS34" s="2577"/>
      <c r="AT34" s="2582"/>
      <c r="AU34" s="2582"/>
      <c r="AV34" s="2582"/>
      <c r="AW34" s="2582"/>
      <c r="AX34" s="2582"/>
      <c r="AY34" s="2582"/>
      <c r="AZ34" s="2582"/>
      <c r="BA34" s="2582"/>
      <c r="BB34" s="2582"/>
      <c r="BC34" s="2582"/>
      <c r="BD34" s="2582"/>
      <c r="BE34" s="2582"/>
      <c r="BF34" s="2582"/>
      <c r="BG34" s="2582"/>
      <c r="BH34" s="2582"/>
      <c r="BI34" s="2582"/>
      <c r="BJ34" s="2582"/>
      <c r="BK34" s="2582"/>
      <c r="BL34" s="2582"/>
      <c r="BM34" s="2582"/>
      <c r="BN34" s="2582"/>
      <c r="BO34" s="2582"/>
      <c r="BP34" s="2582"/>
    </row>
    <row r="35" spans="1:68" s="2583" customFormat="1" ht="180" x14ac:dyDescent="0.25">
      <c r="A35" s="2581"/>
      <c r="B35" s="2586" t="s">
        <v>2095</v>
      </c>
      <c r="C35" s="2576">
        <f>C36+C37</f>
        <v>0</v>
      </c>
      <c r="D35" s="2577"/>
      <c r="E35" s="2566"/>
      <c r="F35" s="2566"/>
      <c r="G35" s="2577"/>
      <c r="H35" s="2577"/>
      <c r="I35" s="2577"/>
      <c r="J35" s="2577"/>
      <c r="K35" s="2576">
        <f>K36+K37</f>
        <v>0</v>
      </c>
      <c r="L35" s="2577">
        <f>L36+L37</f>
        <v>35000</v>
      </c>
      <c r="M35" s="2577">
        <f>M36+M37</f>
        <v>35000</v>
      </c>
      <c r="N35" s="2577"/>
      <c r="O35" s="2577">
        <f>O36+O37</f>
        <v>35000</v>
      </c>
      <c r="P35" s="2578">
        <f>P36+P37</f>
        <v>0</v>
      </c>
      <c r="Q35" s="2578"/>
      <c r="R35" s="2578">
        <f>R36+R37</f>
        <v>0</v>
      </c>
      <c r="S35" s="2577">
        <f>S36+S37</f>
        <v>13850</v>
      </c>
      <c r="T35" s="2578"/>
      <c r="U35" s="2578"/>
      <c r="V35" s="2578"/>
      <c r="W35" s="2578"/>
      <c r="X35" s="2578"/>
      <c r="Y35" s="2578"/>
      <c r="Z35" s="2577"/>
      <c r="AA35" s="2577"/>
      <c r="AB35" s="2566"/>
      <c r="AC35" s="2577">
        <f>AC36+AC37</f>
        <v>13850</v>
      </c>
      <c r="AD35" s="2577"/>
      <c r="AE35" s="2577"/>
      <c r="AF35" s="2577"/>
      <c r="AG35" s="2577"/>
      <c r="AH35" s="2577"/>
      <c r="AI35" s="2577"/>
      <c r="AJ35" s="2577"/>
      <c r="AK35" s="2566"/>
      <c r="AL35" s="2566"/>
      <c r="AM35" s="2577"/>
      <c r="AN35" s="2577"/>
      <c r="AO35" s="2577"/>
      <c r="AP35" s="2577"/>
      <c r="AQ35" s="2577"/>
      <c r="AR35" s="2577">
        <f>AR36+AR37</f>
        <v>21150</v>
      </c>
      <c r="AS35" s="2577"/>
      <c r="AT35" s="2582"/>
      <c r="AU35" s="2582"/>
      <c r="AV35" s="2582"/>
      <c r="AW35" s="2582"/>
      <c r="AX35" s="2582"/>
      <c r="AY35" s="2582"/>
      <c r="AZ35" s="2582"/>
      <c r="BA35" s="2582"/>
      <c r="BB35" s="2582"/>
      <c r="BC35" s="2582"/>
      <c r="BD35" s="2582"/>
      <c r="BE35" s="2582"/>
      <c r="BF35" s="2582"/>
      <c r="BG35" s="2582"/>
      <c r="BH35" s="2582"/>
      <c r="BI35" s="2582"/>
      <c r="BJ35" s="2582"/>
      <c r="BK35" s="2582"/>
      <c r="BL35" s="2582"/>
      <c r="BM35" s="2582"/>
      <c r="BN35" s="2582"/>
      <c r="BO35" s="2582"/>
      <c r="BP35" s="2582"/>
    </row>
    <row r="36" spans="1:68" s="2583" customFormat="1" ht="15" x14ac:dyDescent="0.25">
      <c r="A36" s="2581" t="s">
        <v>1000</v>
      </c>
      <c r="B36" s="2575" t="s">
        <v>1118</v>
      </c>
      <c r="C36" s="2576">
        <f>J36+K36</f>
        <v>0</v>
      </c>
      <c r="D36" s="2577"/>
      <c r="E36" s="2566"/>
      <c r="F36" s="2566"/>
      <c r="G36" s="2577"/>
      <c r="H36" s="2577"/>
      <c r="I36" s="2577"/>
      <c r="J36" s="2577"/>
      <c r="K36" s="2577"/>
      <c r="L36" s="2577">
        <f>M36+P36</f>
        <v>33000</v>
      </c>
      <c r="M36" s="2577">
        <f>N36+O36</f>
        <v>33000</v>
      </c>
      <c r="N36" s="2577"/>
      <c r="O36" s="2577">
        <v>33000</v>
      </c>
      <c r="P36" s="2578">
        <f>Q36+R36</f>
        <v>0</v>
      </c>
      <c r="Q36" s="2567"/>
      <c r="R36" s="2567"/>
      <c r="S36" s="2577">
        <f>SUM(Z36:AC36)</f>
        <v>13850</v>
      </c>
      <c r="T36" s="2578"/>
      <c r="U36" s="2578"/>
      <c r="V36" s="2578"/>
      <c r="W36" s="2578"/>
      <c r="X36" s="2578"/>
      <c r="Y36" s="2578"/>
      <c r="Z36" s="2577"/>
      <c r="AA36" s="2577"/>
      <c r="AB36" s="2566"/>
      <c r="AC36" s="2577">
        <v>13850</v>
      </c>
      <c r="AD36" s="2577"/>
      <c r="AE36" s="2577"/>
      <c r="AF36" s="2577"/>
      <c r="AG36" s="2577"/>
      <c r="AH36" s="2577"/>
      <c r="AI36" s="2577"/>
      <c r="AJ36" s="2577"/>
      <c r="AK36" s="2566"/>
      <c r="AL36" s="2566"/>
      <c r="AM36" s="2577"/>
      <c r="AN36" s="2577"/>
      <c r="AO36" s="2577"/>
      <c r="AP36" s="2577"/>
      <c r="AQ36" s="2577"/>
      <c r="AR36" s="2577">
        <f>M36-S36</f>
        <v>19150</v>
      </c>
      <c r="AS36" s="2577"/>
      <c r="AT36" s="2582"/>
      <c r="AU36" s="2582"/>
      <c r="AV36" s="2582"/>
      <c r="AW36" s="2582"/>
      <c r="AX36" s="2582"/>
      <c r="AY36" s="2582"/>
      <c r="AZ36" s="2582"/>
      <c r="BA36" s="2582"/>
      <c r="BB36" s="2582"/>
      <c r="BC36" s="2582"/>
      <c r="BD36" s="2582"/>
      <c r="BE36" s="2582"/>
      <c r="BF36" s="2582"/>
      <c r="BG36" s="2582"/>
      <c r="BH36" s="2582"/>
      <c r="BI36" s="2582"/>
      <c r="BJ36" s="2582"/>
      <c r="BK36" s="2582"/>
      <c r="BL36" s="2582"/>
      <c r="BM36" s="2582"/>
      <c r="BN36" s="2582"/>
      <c r="BO36" s="2582"/>
      <c r="BP36" s="2582"/>
    </row>
    <row r="37" spans="1:68" s="2583" customFormat="1" ht="15" x14ac:dyDescent="0.25">
      <c r="A37" s="2581" t="s">
        <v>1000</v>
      </c>
      <c r="B37" s="2575" t="s">
        <v>1119</v>
      </c>
      <c r="C37" s="2576">
        <f>J37+K37</f>
        <v>0</v>
      </c>
      <c r="D37" s="2577"/>
      <c r="E37" s="2566"/>
      <c r="F37" s="2566"/>
      <c r="G37" s="2577"/>
      <c r="H37" s="2577"/>
      <c r="I37" s="2577"/>
      <c r="J37" s="2577"/>
      <c r="K37" s="2577"/>
      <c r="L37" s="2577">
        <f>M37+P37</f>
        <v>2000</v>
      </c>
      <c r="M37" s="2577">
        <f>N37+O37</f>
        <v>2000</v>
      </c>
      <c r="N37" s="2577"/>
      <c r="O37" s="2577">
        <v>2000</v>
      </c>
      <c r="P37" s="2578">
        <f>Q37+R37</f>
        <v>0</v>
      </c>
      <c r="Q37" s="2567"/>
      <c r="R37" s="2567"/>
      <c r="S37" s="2577">
        <f>SUM(Z37:AC37)</f>
        <v>0</v>
      </c>
      <c r="T37" s="2578"/>
      <c r="U37" s="2578"/>
      <c r="V37" s="2578"/>
      <c r="W37" s="2578"/>
      <c r="X37" s="2578"/>
      <c r="Y37" s="2578"/>
      <c r="Z37" s="2577"/>
      <c r="AA37" s="2577"/>
      <c r="AB37" s="2566"/>
      <c r="AC37" s="2566"/>
      <c r="AD37" s="2577"/>
      <c r="AE37" s="2577"/>
      <c r="AF37" s="2577"/>
      <c r="AG37" s="2577"/>
      <c r="AH37" s="2577"/>
      <c r="AI37" s="2577"/>
      <c r="AJ37" s="2577"/>
      <c r="AK37" s="2566"/>
      <c r="AL37" s="2566"/>
      <c r="AM37" s="2577"/>
      <c r="AN37" s="2577"/>
      <c r="AO37" s="2577"/>
      <c r="AP37" s="2577"/>
      <c r="AQ37" s="2577"/>
      <c r="AR37" s="2577">
        <f>M37-S37</f>
        <v>2000</v>
      </c>
      <c r="AS37" s="2577"/>
      <c r="AT37" s="2582"/>
      <c r="AU37" s="2582"/>
      <c r="AV37" s="2582"/>
      <c r="AW37" s="2582"/>
      <c r="AX37" s="2582"/>
      <c r="AY37" s="2582"/>
      <c r="AZ37" s="2582"/>
      <c r="BA37" s="2582"/>
      <c r="BB37" s="2582"/>
      <c r="BC37" s="2582"/>
      <c r="BD37" s="2582"/>
      <c r="BE37" s="2582"/>
      <c r="BF37" s="2582"/>
      <c r="BG37" s="2582"/>
      <c r="BH37" s="2582"/>
      <c r="BI37" s="2582"/>
      <c r="BJ37" s="2582"/>
      <c r="BK37" s="2582"/>
      <c r="BL37" s="2582"/>
      <c r="BM37" s="2582"/>
      <c r="BN37" s="2582"/>
      <c r="BO37" s="2582"/>
      <c r="BP37" s="2582"/>
    </row>
    <row r="38" spans="1:68" s="2573" customFormat="1" ht="33.75" customHeight="1" x14ac:dyDescent="0.25">
      <c r="A38" s="2564" t="s">
        <v>11</v>
      </c>
      <c r="B38" s="2571" t="s">
        <v>1122</v>
      </c>
      <c r="C38" s="2565">
        <f>SUM(C39:I40)</f>
        <v>732554.98800000001</v>
      </c>
      <c r="D38" s="2565">
        <f t="shared" ref="D38:I38" si="12">SUM(D39:J40)</f>
        <v>0</v>
      </c>
      <c r="E38" s="2565">
        <f t="shared" si="12"/>
        <v>732554.98800000001</v>
      </c>
      <c r="F38" s="2565">
        <f t="shared" si="12"/>
        <v>2067414.9880000001</v>
      </c>
      <c r="G38" s="2565">
        <f t="shared" si="12"/>
        <v>3402274.9879999999</v>
      </c>
      <c r="H38" s="2565">
        <f t="shared" si="12"/>
        <v>3402274.9879999999</v>
      </c>
      <c r="I38" s="2565">
        <f t="shared" si="12"/>
        <v>4737134.9879999999</v>
      </c>
      <c r="J38" s="2565">
        <f>SUM(J39:J41)</f>
        <v>0</v>
      </c>
      <c r="K38" s="2609">
        <f t="shared" ref="K38:Q38" si="13">SUM(K39:K41)</f>
        <v>732554.98800000001</v>
      </c>
      <c r="L38" s="2565">
        <f t="shared" si="13"/>
        <v>1334860</v>
      </c>
      <c r="M38" s="2565">
        <f t="shared" si="13"/>
        <v>1334860</v>
      </c>
      <c r="N38" s="2565">
        <f t="shared" si="13"/>
        <v>0</v>
      </c>
      <c r="O38" s="2609">
        <f t="shared" si="13"/>
        <v>1334860</v>
      </c>
      <c r="P38" s="2587">
        <f t="shared" si="13"/>
        <v>0</v>
      </c>
      <c r="Q38" s="2587">
        <f t="shared" si="13"/>
        <v>0</v>
      </c>
      <c r="R38" s="2587">
        <f>SUM(R39:R41)</f>
        <v>0</v>
      </c>
      <c r="S38" s="2609">
        <f t="shared" ref="S38:AQ38" si="14">SUM(S39:S41)</f>
        <v>723504.32000000007</v>
      </c>
      <c r="T38" s="2587">
        <f t="shared" si="14"/>
        <v>0</v>
      </c>
      <c r="U38" s="2587">
        <f t="shared" si="14"/>
        <v>0</v>
      </c>
      <c r="V38" s="2587">
        <f t="shared" si="14"/>
        <v>0</v>
      </c>
      <c r="W38" s="2587">
        <f t="shared" si="14"/>
        <v>0</v>
      </c>
      <c r="X38" s="2587">
        <f t="shared" si="14"/>
        <v>0</v>
      </c>
      <c r="Y38" s="2587">
        <f t="shared" si="14"/>
        <v>0</v>
      </c>
      <c r="Z38" s="2565">
        <f t="shared" si="14"/>
        <v>0</v>
      </c>
      <c r="AA38" s="2565">
        <f t="shared" si="14"/>
        <v>303630.2</v>
      </c>
      <c r="AB38" s="2565">
        <f t="shared" si="14"/>
        <v>0</v>
      </c>
      <c r="AC38" s="2565">
        <f t="shared" si="14"/>
        <v>419874.12</v>
      </c>
      <c r="AD38" s="2610">
        <f t="shared" si="14"/>
        <v>903128.7</v>
      </c>
      <c r="AE38" s="2565">
        <f t="shared" si="14"/>
        <v>0</v>
      </c>
      <c r="AF38" s="2565">
        <f t="shared" si="14"/>
        <v>903128.7</v>
      </c>
      <c r="AG38" s="2565">
        <f t="shared" si="14"/>
        <v>0</v>
      </c>
      <c r="AH38" s="2565">
        <f t="shared" si="14"/>
        <v>0</v>
      </c>
      <c r="AI38" s="2565">
        <f t="shared" si="14"/>
        <v>0</v>
      </c>
      <c r="AJ38" s="2565">
        <f t="shared" si="14"/>
        <v>0</v>
      </c>
      <c r="AK38" s="2565">
        <f t="shared" si="14"/>
        <v>0</v>
      </c>
      <c r="AL38" s="2565">
        <f t="shared" si="14"/>
        <v>0</v>
      </c>
      <c r="AM38" s="2565">
        <f t="shared" si="14"/>
        <v>0</v>
      </c>
      <c r="AN38" s="2565">
        <f t="shared" si="14"/>
        <v>0</v>
      </c>
      <c r="AO38" s="2565">
        <f t="shared" si="14"/>
        <v>0</v>
      </c>
      <c r="AP38" s="2565">
        <f t="shared" si="14"/>
        <v>0</v>
      </c>
      <c r="AQ38" s="2565">
        <f t="shared" si="14"/>
        <v>0</v>
      </c>
      <c r="AR38" s="2609">
        <f>SUM(AR39:AR41)</f>
        <v>440781.96799999999</v>
      </c>
      <c r="AS38" s="2566"/>
      <c r="AT38" s="2572"/>
      <c r="AU38" s="2572"/>
      <c r="AV38" s="2572"/>
      <c r="AW38" s="2572"/>
      <c r="AX38" s="2572"/>
      <c r="AY38" s="2572"/>
      <c r="AZ38" s="2572"/>
      <c r="BA38" s="2572"/>
      <c r="BB38" s="2572"/>
      <c r="BC38" s="2572"/>
      <c r="BD38" s="2572"/>
      <c r="BE38" s="2572"/>
      <c r="BF38" s="2572"/>
      <c r="BG38" s="2572"/>
      <c r="BH38" s="2572"/>
      <c r="BI38" s="2572"/>
      <c r="BJ38" s="2572"/>
      <c r="BK38" s="2572"/>
      <c r="BL38" s="2572"/>
      <c r="BM38" s="2572"/>
      <c r="BN38" s="2572"/>
      <c r="BO38" s="2572"/>
      <c r="BP38" s="2572"/>
    </row>
    <row r="39" spans="1:68" s="2580" customFormat="1" ht="21.75" customHeight="1" x14ac:dyDescent="0.25">
      <c r="A39" s="2574" t="s">
        <v>23</v>
      </c>
      <c r="B39" s="2575" t="s">
        <v>1118</v>
      </c>
      <c r="C39" s="2576">
        <f>J39+K39</f>
        <v>693864.18799999997</v>
      </c>
      <c r="D39" s="2577"/>
      <c r="E39" s="2577"/>
      <c r="F39" s="2577"/>
      <c r="G39" s="2577"/>
      <c r="H39" s="2577"/>
      <c r="I39" s="2577"/>
      <c r="J39" s="2577">
        <f>J43+J47+J51+J67+J75</f>
        <v>0</v>
      </c>
      <c r="K39" s="2577">
        <f>K43+K47+K51+K67+K75</f>
        <v>693864.18799999997</v>
      </c>
      <c r="L39" s="2577">
        <f>M39+P39</f>
        <v>1299860</v>
      </c>
      <c r="M39" s="2577">
        <f>N39+O39</f>
        <v>1299860</v>
      </c>
      <c r="N39" s="2577">
        <f>N43+N47+N51+N63+N75</f>
        <v>0</v>
      </c>
      <c r="O39" s="2577">
        <f>O43+O47+O51+O63+O75</f>
        <v>1299860</v>
      </c>
      <c r="P39" s="2588">
        <f>W39+X39</f>
        <v>0</v>
      </c>
      <c r="Q39" s="2578">
        <f>Q43+Q47+Q51+Q67+Q75</f>
        <v>0</v>
      </c>
      <c r="R39" s="2578">
        <f>R43+R47+R51+R67+R75</f>
        <v>0</v>
      </c>
      <c r="S39" s="2577">
        <f>SUM(Z39:AC39)</f>
        <v>710471.06</v>
      </c>
      <c r="T39" s="2578"/>
      <c r="U39" s="2578"/>
      <c r="V39" s="2578"/>
      <c r="W39" s="2578"/>
      <c r="X39" s="2578"/>
      <c r="Y39" s="2578"/>
      <c r="Z39" s="2577">
        <f>Z43+Z47+Z51+Z67+Z75</f>
        <v>0</v>
      </c>
      <c r="AA39" s="2577">
        <f>AA43+AA47+AA51+AA63+AA75</f>
        <v>301980</v>
      </c>
      <c r="AB39" s="2577">
        <f>AB43+AB47+AB51+AB67+AB75</f>
        <v>0</v>
      </c>
      <c r="AC39" s="2577">
        <f>AC43+AC47+AC51+AC63+AC75</f>
        <v>408491.06</v>
      </c>
      <c r="AD39" s="2577">
        <f>AE39+AF39</f>
        <v>881010.44</v>
      </c>
      <c r="AE39" s="2577">
        <f>AE43+AE47+AE51+AE67+AE75</f>
        <v>0</v>
      </c>
      <c r="AF39" s="2577">
        <f>AF43+AF47+AF51+AF63+AF75</f>
        <v>881010.44</v>
      </c>
      <c r="AG39" s="2577"/>
      <c r="AH39" s="2577"/>
      <c r="AI39" s="2577"/>
      <c r="AJ39" s="2577"/>
      <c r="AK39" s="2577"/>
      <c r="AL39" s="2577"/>
      <c r="AM39" s="2577"/>
      <c r="AN39" s="2577">
        <f>AN43+AN47+AN51+AN67+AN75</f>
        <v>0</v>
      </c>
      <c r="AO39" s="2577">
        <f>AO43+AO47+AO51+AO67+AO75</f>
        <v>0</v>
      </c>
      <c r="AP39" s="2577">
        <f>AP43+AP47+AP51+AP67+AP75</f>
        <v>0</v>
      </c>
      <c r="AQ39" s="2577">
        <f>AQ43+AQ47+AQ51+AQ67+AQ75</f>
        <v>0</v>
      </c>
      <c r="AR39" s="2577">
        <f>AR43+AR47+AR51+AR67+AR75</f>
        <v>402242.68799999997</v>
      </c>
      <c r="AS39" s="2577"/>
      <c r="AT39" s="2579"/>
      <c r="AU39" s="2579"/>
      <c r="AV39" s="2579"/>
      <c r="AW39" s="2579"/>
      <c r="AX39" s="2579"/>
      <c r="AY39" s="2579"/>
      <c r="AZ39" s="2579"/>
      <c r="BA39" s="2579"/>
      <c r="BB39" s="2579"/>
      <c r="BC39" s="2579"/>
      <c r="BD39" s="2579"/>
      <c r="BE39" s="2579"/>
      <c r="BF39" s="2579"/>
      <c r="BG39" s="2579"/>
      <c r="BH39" s="2579"/>
      <c r="BI39" s="2579"/>
      <c r="BJ39" s="2579"/>
      <c r="BK39" s="2579"/>
      <c r="BL39" s="2579"/>
      <c r="BM39" s="2579"/>
      <c r="BN39" s="2579"/>
      <c r="BO39" s="2579"/>
      <c r="BP39" s="2579"/>
    </row>
    <row r="40" spans="1:68" s="2580" customFormat="1" ht="21.75" customHeight="1" x14ac:dyDescent="0.25">
      <c r="A40" s="2574" t="s">
        <v>23</v>
      </c>
      <c r="B40" s="2575" t="s">
        <v>1119</v>
      </c>
      <c r="C40" s="2576">
        <f t="shared" ref="C40:C41" si="15">J40+K40</f>
        <v>38690.799999999996</v>
      </c>
      <c r="D40" s="2577"/>
      <c r="E40" s="2577"/>
      <c r="F40" s="2577"/>
      <c r="G40" s="2577"/>
      <c r="H40" s="2577"/>
      <c r="I40" s="2577"/>
      <c r="J40" s="2577">
        <f>J44+J48+J52+J64+J76</f>
        <v>0</v>
      </c>
      <c r="K40" s="2577">
        <f>K44+K48+K52+K64+K76</f>
        <v>38690.799999999996</v>
      </c>
      <c r="L40" s="2577">
        <f t="shared" ref="L40:L41" si="16">M40+P40</f>
        <v>35000</v>
      </c>
      <c r="M40" s="2577">
        <f t="shared" ref="M40:M41" si="17">N40+O40</f>
        <v>35000</v>
      </c>
      <c r="N40" s="2577">
        <f t="shared" ref="N40:O41" si="18">N44+N48+N52+N64+N76</f>
        <v>0</v>
      </c>
      <c r="O40" s="2577">
        <f t="shared" si="18"/>
        <v>35000</v>
      </c>
      <c r="P40" s="2588">
        <f t="shared" ref="P40:P41" si="19">W40+X40</f>
        <v>0</v>
      </c>
      <c r="Q40" s="2578">
        <f>Q44+Q48+Q52+Q64+Q76</f>
        <v>0</v>
      </c>
      <c r="R40" s="2578">
        <f>R44+R48+R52+R64+R76</f>
        <v>0</v>
      </c>
      <c r="S40" s="2577">
        <f>SUM(Z40:AC40)</f>
        <v>13033.26</v>
      </c>
      <c r="T40" s="2578"/>
      <c r="U40" s="2578"/>
      <c r="V40" s="2578"/>
      <c r="W40" s="2578"/>
      <c r="X40" s="2578"/>
      <c r="Y40" s="2578"/>
      <c r="Z40" s="2577">
        <f t="shared" ref="Z40:AC41" si="20">Z44+Z48+Z52+Z64+Z76</f>
        <v>0</v>
      </c>
      <c r="AA40" s="2577">
        <f t="shared" si="20"/>
        <v>1650.2</v>
      </c>
      <c r="AB40" s="2577">
        <f t="shared" si="20"/>
        <v>0</v>
      </c>
      <c r="AC40" s="2577">
        <f t="shared" si="20"/>
        <v>11383.06</v>
      </c>
      <c r="AD40" s="2577">
        <f t="shared" ref="AD40:AD41" si="21">AE40+AF40</f>
        <v>22118.260000000002</v>
      </c>
      <c r="AE40" s="2577">
        <f>AE44+AE48+AE52+AE64+AE76</f>
        <v>0</v>
      </c>
      <c r="AF40" s="2577">
        <f t="shared" ref="AF40:AF41" si="22">AF44+AF48+AF52+AF64+AF76</f>
        <v>22118.260000000002</v>
      </c>
      <c r="AG40" s="2577"/>
      <c r="AH40" s="2577"/>
      <c r="AI40" s="2577"/>
      <c r="AJ40" s="2577"/>
      <c r="AK40" s="2577"/>
      <c r="AL40" s="2577"/>
      <c r="AM40" s="2577"/>
      <c r="AN40" s="2577">
        <f t="shared" ref="AN40:AR41" si="23">AN44+AN48+AN52+AN64+AN76</f>
        <v>0</v>
      </c>
      <c r="AO40" s="2577">
        <f t="shared" si="23"/>
        <v>0</v>
      </c>
      <c r="AP40" s="2577">
        <f t="shared" si="23"/>
        <v>0</v>
      </c>
      <c r="AQ40" s="2577">
        <f t="shared" si="23"/>
        <v>0</v>
      </c>
      <c r="AR40" s="2577">
        <f t="shared" si="23"/>
        <v>38539.279999999999</v>
      </c>
      <c r="AS40" s="2577"/>
      <c r="AT40" s="2579"/>
      <c r="AU40" s="2579"/>
      <c r="AV40" s="2579"/>
      <c r="AW40" s="2579"/>
      <c r="AX40" s="2579"/>
      <c r="AY40" s="2579"/>
      <c r="AZ40" s="2579"/>
      <c r="BA40" s="2579"/>
      <c r="BB40" s="2579"/>
      <c r="BC40" s="2579"/>
      <c r="BD40" s="2579"/>
      <c r="BE40" s="2579"/>
      <c r="BF40" s="2579"/>
      <c r="BG40" s="2579"/>
      <c r="BH40" s="2579"/>
      <c r="BI40" s="2579"/>
      <c r="BJ40" s="2579"/>
      <c r="BK40" s="2579"/>
      <c r="BL40" s="2579"/>
      <c r="BM40" s="2579"/>
      <c r="BN40" s="2579"/>
      <c r="BO40" s="2579"/>
      <c r="BP40" s="2579"/>
    </row>
    <row r="41" spans="1:68" s="2580" customFormat="1" ht="15" x14ac:dyDescent="0.25">
      <c r="A41" s="2574" t="s">
        <v>23</v>
      </c>
      <c r="B41" s="2575" t="s">
        <v>502</v>
      </c>
      <c r="C41" s="2576">
        <f t="shared" si="15"/>
        <v>0</v>
      </c>
      <c r="D41" s="2577"/>
      <c r="E41" s="2577"/>
      <c r="F41" s="2577"/>
      <c r="G41" s="2577"/>
      <c r="H41" s="2577"/>
      <c r="I41" s="2577"/>
      <c r="J41" s="2577">
        <f>J45+J49+J53+J65+J77</f>
        <v>0</v>
      </c>
      <c r="K41" s="2577">
        <f>K45+K49+K53+K65+K77</f>
        <v>0</v>
      </c>
      <c r="L41" s="2577">
        <f t="shared" si="16"/>
        <v>0</v>
      </c>
      <c r="M41" s="2577">
        <f t="shared" si="17"/>
        <v>0</v>
      </c>
      <c r="N41" s="2577">
        <f t="shared" si="18"/>
        <v>0</v>
      </c>
      <c r="O41" s="2577">
        <f t="shared" si="18"/>
        <v>0</v>
      </c>
      <c r="P41" s="2588">
        <f t="shared" si="19"/>
        <v>0</v>
      </c>
      <c r="Q41" s="2578">
        <f>Q45+Q49+Q53+Q65+Q77</f>
        <v>0</v>
      </c>
      <c r="R41" s="2578">
        <f>R45+R49+R53+R65+R77</f>
        <v>0</v>
      </c>
      <c r="S41" s="2577">
        <f>SUM(Z41:AC41)</f>
        <v>0</v>
      </c>
      <c r="T41" s="2578"/>
      <c r="U41" s="2578"/>
      <c r="V41" s="2578"/>
      <c r="W41" s="2578"/>
      <c r="X41" s="2578"/>
      <c r="Y41" s="2578"/>
      <c r="Z41" s="2577">
        <f t="shared" si="20"/>
        <v>0</v>
      </c>
      <c r="AA41" s="2577">
        <f t="shared" si="20"/>
        <v>0</v>
      </c>
      <c r="AB41" s="2577">
        <f t="shared" si="20"/>
        <v>0</v>
      </c>
      <c r="AC41" s="2577">
        <f t="shared" si="20"/>
        <v>0</v>
      </c>
      <c r="AD41" s="2577">
        <f t="shared" si="21"/>
        <v>0</v>
      </c>
      <c r="AE41" s="2577">
        <f>AE45+AE49+AE53+AE65+AE77</f>
        <v>0</v>
      </c>
      <c r="AF41" s="2577">
        <f t="shared" si="22"/>
        <v>0</v>
      </c>
      <c r="AG41" s="2577"/>
      <c r="AH41" s="2577"/>
      <c r="AI41" s="2577"/>
      <c r="AJ41" s="2577"/>
      <c r="AK41" s="2577"/>
      <c r="AL41" s="2577"/>
      <c r="AM41" s="2577"/>
      <c r="AN41" s="2577">
        <f t="shared" si="23"/>
        <v>0</v>
      </c>
      <c r="AO41" s="2577">
        <f t="shared" si="23"/>
        <v>0</v>
      </c>
      <c r="AP41" s="2577">
        <f t="shared" si="23"/>
        <v>0</v>
      </c>
      <c r="AQ41" s="2577">
        <f t="shared" si="23"/>
        <v>0</v>
      </c>
      <c r="AR41" s="2577">
        <f t="shared" si="23"/>
        <v>0</v>
      </c>
      <c r="AS41" s="2577"/>
      <c r="AT41" s="2579"/>
      <c r="AU41" s="2579"/>
      <c r="AV41" s="2579"/>
      <c r="AW41" s="2579"/>
      <c r="AX41" s="2579"/>
      <c r="AY41" s="2579"/>
      <c r="AZ41" s="2579"/>
      <c r="BA41" s="2579"/>
      <c r="BB41" s="2579"/>
      <c r="BC41" s="2579"/>
      <c r="BD41" s="2579"/>
      <c r="BE41" s="2579"/>
      <c r="BF41" s="2579"/>
      <c r="BG41" s="2579"/>
      <c r="BH41" s="2579"/>
      <c r="BI41" s="2579"/>
      <c r="BJ41" s="2579"/>
      <c r="BK41" s="2579"/>
      <c r="BL41" s="2579"/>
      <c r="BM41" s="2579"/>
      <c r="BN41" s="2579"/>
      <c r="BO41" s="2579"/>
      <c r="BP41" s="2579"/>
    </row>
    <row r="42" spans="1:68" s="2596" customFormat="1" ht="30" x14ac:dyDescent="0.25">
      <c r="A42" s="2589">
        <v>1</v>
      </c>
      <c r="B42" s="2590" t="s">
        <v>1392</v>
      </c>
      <c r="C42" s="2591">
        <f>C43+C44</f>
        <v>730904.78799999994</v>
      </c>
      <c r="D42" s="2592"/>
      <c r="E42" s="2592"/>
      <c r="F42" s="2592"/>
      <c r="G42" s="2592"/>
      <c r="H42" s="2592"/>
      <c r="I42" s="2592"/>
      <c r="J42" s="2592"/>
      <c r="K42" s="2591">
        <f>K43+K44</f>
        <v>730904.78799999994</v>
      </c>
      <c r="L42" s="2591">
        <f>L43+L44</f>
        <v>0</v>
      </c>
      <c r="M42" s="2591">
        <f>M43+M44</f>
        <v>0</v>
      </c>
      <c r="N42" s="2592"/>
      <c r="O42" s="2591">
        <f>O43+O44</f>
        <v>0</v>
      </c>
      <c r="P42" s="2593">
        <f>P43+P44</f>
        <v>0</v>
      </c>
      <c r="Q42" s="2593">
        <f>Q43+Q44</f>
        <v>0</v>
      </c>
      <c r="R42" s="2593">
        <f>R43+R44</f>
        <v>0</v>
      </c>
      <c r="S42" s="2591">
        <f>S43+S44</f>
        <v>301980</v>
      </c>
      <c r="T42" s="2594"/>
      <c r="U42" s="2594"/>
      <c r="V42" s="2594"/>
      <c r="W42" s="2594"/>
      <c r="X42" s="2594"/>
      <c r="Y42" s="2594"/>
      <c r="Z42" s="2591">
        <f>Z43+Z44</f>
        <v>0</v>
      </c>
      <c r="AA42" s="2591">
        <f>AA43+AA44</f>
        <v>301980</v>
      </c>
      <c r="AB42" s="2591">
        <f>AB43+AB44</f>
        <v>0</v>
      </c>
      <c r="AC42" s="2591">
        <f>AC43+AC44</f>
        <v>0</v>
      </c>
      <c r="AD42" s="2591">
        <f>AD43+AD44</f>
        <v>0</v>
      </c>
      <c r="AE42" s="2592"/>
      <c r="AF42" s="2591">
        <f>AF43+AF44</f>
        <v>0</v>
      </c>
      <c r="AG42" s="2591">
        <f t="shared" ref="AG42:AM42" si="24">AG43+AG44</f>
        <v>0</v>
      </c>
      <c r="AH42" s="2591">
        <f t="shared" si="24"/>
        <v>0</v>
      </c>
      <c r="AI42" s="2591">
        <f t="shared" si="24"/>
        <v>0</v>
      </c>
      <c r="AJ42" s="2591">
        <f t="shared" si="24"/>
        <v>0</v>
      </c>
      <c r="AK42" s="2591">
        <f t="shared" si="24"/>
        <v>0</v>
      </c>
      <c r="AL42" s="2591">
        <f t="shared" si="24"/>
        <v>0</v>
      </c>
      <c r="AM42" s="2591">
        <f t="shared" si="24"/>
        <v>0</v>
      </c>
      <c r="AN42" s="2591">
        <f>AN43+AN44</f>
        <v>0</v>
      </c>
      <c r="AO42" s="2591">
        <f>AO43+AO44</f>
        <v>0</v>
      </c>
      <c r="AP42" s="2591">
        <f>AP43+AP44</f>
        <v>0</v>
      </c>
      <c r="AQ42" s="2591">
        <f>AQ43+AQ44</f>
        <v>0</v>
      </c>
      <c r="AR42" s="2591">
        <f t="shared" ref="AR42:AS42" si="25">AR43+AR44</f>
        <v>428924.78799999994</v>
      </c>
      <c r="AS42" s="2591">
        <f t="shared" si="25"/>
        <v>0</v>
      </c>
      <c r="AT42" s="2595"/>
      <c r="AU42" s="2595"/>
      <c r="AV42" s="2595"/>
      <c r="AW42" s="2595"/>
      <c r="AX42" s="2595"/>
      <c r="AY42" s="2595"/>
      <c r="AZ42" s="2595"/>
      <c r="BA42" s="2595"/>
      <c r="BB42" s="2595"/>
      <c r="BC42" s="2595"/>
      <c r="BD42" s="2595"/>
      <c r="BE42" s="2595"/>
      <c r="BF42" s="2595"/>
      <c r="BG42" s="2595"/>
      <c r="BH42" s="2595"/>
      <c r="BI42" s="2595"/>
      <c r="BJ42" s="2595"/>
      <c r="BK42" s="2595"/>
      <c r="BL42" s="2595"/>
      <c r="BM42" s="2595"/>
      <c r="BN42" s="2595"/>
      <c r="BO42" s="2595"/>
      <c r="BP42" s="2595"/>
    </row>
    <row r="43" spans="1:68" s="2580" customFormat="1" ht="21.75" customHeight="1" x14ac:dyDescent="0.25">
      <c r="A43" s="2574" t="s">
        <v>23</v>
      </c>
      <c r="B43" s="2575" t="s">
        <v>1118</v>
      </c>
      <c r="C43" s="2576">
        <f>J43+K43</f>
        <v>693864.18799999997</v>
      </c>
      <c r="D43" s="2577"/>
      <c r="E43" s="2566"/>
      <c r="F43" s="2566"/>
      <c r="G43" s="2577"/>
      <c r="H43" s="2577"/>
      <c r="I43" s="2577"/>
      <c r="J43" s="2577"/>
      <c r="K43" s="2577">
        <v>693864.18799999997</v>
      </c>
      <c r="L43" s="2577">
        <f>M43+O43</f>
        <v>0</v>
      </c>
      <c r="M43" s="2577">
        <f>N43+O43</f>
        <v>0</v>
      </c>
      <c r="N43" s="2577"/>
      <c r="O43" s="2577"/>
      <c r="P43" s="2588">
        <f>W43+X43</f>
        <v>0</v>
      </c>
      <c r="Q43" s="2578"/>
      <c r="R43" s="2578"/>
      <c r="S43" s="2577">
        <f>SUM(Z43:AC43)</f>
        <v>301980</v>
      </c>
      <c r="T43" s="2578"/>
      <c r="U43" s="2578"/>
      <c r="V43" s="2578"/>
      <c r="W43" s="2578"/>
      <c r="X43" s="2578"/>
      <c r="Y43" s="2578"/>
      <c r="Z43" s="2576"/>
      <c r="AA43" s="2577">
        <f>266700+35280</f>
        <v>301980</v>
      </c>
      <c r="AB43" s="2577"/>
      <c r="AC43" s="2577"/>
      <c r="AD43" s="2576">
        <f>AE43+AF43</f>
        <v>0</v>
      </c>
      <c r="AE43" s="2577"/>
      <c r="AF43" s="2577"/>
      <c r="AG43" s="2577">
        <f>SUM(AN43:AQ43)</f>
        <v>0</v>
      </c>
      <c r="AH43" s="2577"/>
      <c r="AI43" s="2577"/>
      <c r="AJ43" s="2577"/>
      <c r="AK43" s="2577"/>
      <c r="AL43" s="2577"/>
      <c r="AM43" s="2577"/>
      <c r="AN43" s="2577"/>
      <c r="AO43" s="2577"/>
      <c r="AP43" s="2577"/>
      <c r="AQ43" s="2577"/>
      <c r="AR43" s="2577">
        <f>K43-S43</f>
        <v>391884.18799999997</v>
      </c>
      <c r="AS43" s="2577"/>
      <c r="AT43" s="2579"/>
      <c r="AU43" s="2579"/>
      <c r="AV43" s="2579"/>
      <c r="AW43" s="2579"/>
      <c r="AX43" s="2579"/>
      <c r="AY43" s="2579"/>
      <c r="AZ43" s="2579"/>
      <c r="BA43" s="2579"/>
      <c r="BB43" s="2579"/>
      <c r="BC43" s="2579"/>
      <c r="BD43" s="2579"/>
      <c r="BE43" s="2579"/>
      <c r="BF43" s="2579"/>
      <c r="BG43" s="2579"/>
      <c r="BH43" s="2579"/>
      <c r="BI43" s="2579"/>
      <c r="BJ43" s="2579"/>
      <c r="BK43" s="2579"/>
      <c r="BL43" s="2579"/>
      <c r="BM43" s="2579"/>
      <c r="BN43" s="2579"/>
      <c r="BO43" s="2579"/>
      <c r="BP43" s="2579"/>
    </row>
    <row r="44" spans="1:68" s="2580" customFormat="1" ht="21.75" customHeight="1" x14ac:dyDescent="0.25">
      <c r="A44" s="2574" t="s">
        <v>23</v>
      </c>
      <c r="B44" s="2575" t="s">
        <v>1119</v>
      </c>
      <c r="C44" s="2576">
        <f>J44+K44</f>
        <v>37040.6</v>
      </c>
      <c r="D44" s="2577"/>
      <c r="E44" s="2566"/>
      <c r="F44" s="2566"/>
      <c r="G44" s="2577"/>
      <c r="H44" s="2577"/>
      <c r="I44" s="2577"/>
      <c r="J44" s="2577"/>
      <c r="K44" s="2577">
        <f>14000+23040.6</f>
        <v>37040.6</v>
      </c>
      <c r="L44" s="2577">
        <f>M44+O44</f>
        <v>0</v>
      </c>
      <c r="M44" s="2577">
        <f t="shared" ref="M44:M45" si="26">N44+O44</f>
        <v>0</v>
      </c>
      <c r="N44" s="2577"/>
      <c r="O44" s="2577"/>
      <c r="P44" s="2588">
        <f>W44+X44</f>
        <v>0</v>
      </c>
      <c r="Q44" s="2578"/>
      <c r="R44" s="2578"/>
      <c r="S44" s="2577">
        <f>SUM(Z44:AC44)</f>
        <v>0</v>
      </c>
      <c r="T44" s="2578"/>
      <c r="U44" s="2578"/>
      <c r="V44" s="2578"/>
      <c r="W44" s="2578"/>
      <c r="X44" s="2578"/>
      <c r="Y44" s="2578"/>
      <c r="Z44" s="2576"/>
      <c r="AA44" s="2577"/>
      <c r="AB44" s="2577"/>
      <c r="AC44" s="2577"/>
      <c r="AD44" s="2576">
        <f>AE44+AF44</f>
        <v>0</v>
      </c>
      <c r="AE44" s="2577"/>
      <c r="AF44" s="2577"/>
      <c r="AG44" s="2577">
        <f>SUM(AN44:AQ44)</f>
        <v>0</v>
      </c>
      <c r="AH44" s="2577"/>
      <c r="AI44" s="2577"/>
      <c r="AJ44" s="2577"/>
      <c r="AK44" s="2577"/>
      <c r="AL44" s="2577"/>
      <c r="AM44" s="2577"/>
      <c r="AN44" s="2577"/>
      <c r="AO44" s="2577"/>
      <c r="AP44" s="2577"/>
      <c r="AQ44" s="2577"/>
      <c r="AR44" s="2577">
        <f>K44-S44</f>
        <v>37040.6</v>
      </c>
      <c r="AS44" s="2577"/>
      <c r="AT44" s="2579"/>
      <c r="AU44" s="2579"/>
      <c r="AV44" s="2579"/>
      <c r="AW44" s="2579"/>
      <c r="AX44" s="2579"/>
      <c r="AY44" s="2579"/>
      <c r="AZ44" s="2579"/>
      <c r="BA44" s="2579"/>
      <c r="BB44" s="2579"/>
      <c r="BC44" s="2579"/>
      <c r="BD44" s="2579"/>
      <c r="BE44" s="2579"/>
      <c r="BF44" s="2579"/>
      <c r="BG44" s="2579"/>
      <c r="BH44" s="2579"/>
      <c r="BI44" s="2579"/>
      <c r="BJ44" s="2579"/>
      <c r="BK44" s="2579"/>
      <c r="BL44" s="2579"/>
      <c r="BM44" s="2579"/>
      <c r="BN44" s="2579"/>
      <c r="BO44" s="2579"/>
      <c r="BP44" s="2579"/>
    </row>
    <row r="45" spans="1:68" s="2580" customFormat="1" ht="15" x14ac:dyDescent="0.25">
      <c r="A45" s="2574" t="s">
        <v>23</v>
      </c>
      <c r="B45" s="2575" t="s">
        <v>502</v>
      </c>
      <c r="C45" s="2576"/>
      <c r="D45" s="2577"/>
      <c r="E45" s="2577"/>
      <c r="F45" s="2577"/>
      <c r="G45" s="2577"/>
      <c r="H45" s="2577"/>
      <c r="I45" s="2577"/>
      <c r="J45" s="2577"/>
      <c r="K45" s="2577"/>
      <c r="L45" s="2577">
        <f>M45+O45</f>
        <v>0</v>
      </c>
      <c r="M45" s="2577">
        <f t="shared" si="26"/>
        <v>0</v>
      </c>
      <c r="N45" s="2577"/>
      <c r="O45" s="2577"/>
      <c r="P45" s="2578"/>
      <c r="Q45" s="2578"/>
      <c r="R45" s="2578"/>
      <c r="S45" s="2577"/>
      <c r="T45" s="2578"/>
      <c r="U45" s="2578"/>
      <c r="V45" s="2578"/>
      <c r="W45" s="2578"/>
      <c r="X45" s="2578"/>
      <c r="Y45" s="2578"/>
      <c r="Z45" s="2577"/>
      <c r="AA45" s="2577"/>
      <c r="AB45" s="2577"/>
      <c r="AC45" s="2577"/>
      <c r="AD45" s="2577"/>
      <c r="AE45" s="2577"/>
      <c r="AF45" s="2577"/>
      <c r="AG45" s="2577"/>
      <c r="AH45" s="2577"/>
      <c r="AI45" s="2577"/>
      <c r="AJ45" s="2577"/>
      <c r="AK45" s="2577"/>
      <c r="AL45" s="2577"/>
      <c r="AM45" s="2577"/>
      <c r="AN45" s="2577"/>
      <c r="AO45" s="2577"/>
      <c r="AP45" s="2577"/>
      <c r="AQ45" s="2577"/>
      <c r="AR45" s="2577"/>
      <c r="AS45" s="2577"/>
      <c r="AT45" s="2579"/>
      <c r="AU45" s="2579"/>
      <c r="AV45" s="2579"/>
      <c r="AW45" s="2579"/>
      <c r="AX45" s="2579"/>
      <c r="AY45" s="2579"/>
      <c r="AZ45" s="2579"/>
      <c r="BA45" s="2579"/>
      <c r="BB45" s="2579"/>
      <c r="BC45" s="2579"/>
      <c r="BD45" s="2579"/>
      <c r="BE45" s="2579"/>
      <c r="BF45" s="2579"/>
      <c r="BG45" s="2579"/>
      <c r="BH45" s="2579"/>
      <c r="BI45" s="2579"/>
      <c r="BJ45" s="2579"/>
      <c r="BK45" s="2579"/>
      <c r="BL45" s="2579"/>
      <c r="BM45" s="2579"/>
      <c r="BN45" s="2579"/>
      <c r="BO45" s="2579"/>
      <c r="BP45" s="2579"/>
    </row>
    <row r="46" spans="1:68" s="2596" customFormat="1" ht="54.75" customHeight="1" x14ac:dyDescent="0.25">
      <c r="A46" s="2589">
        <v>2</v>
      </c>
      <c r="B46" s="2590" t="s">
        <v>2102</v>
      </c>
      <c r="C46" s="2591">
        <f>C47+C48</f>
        <v>0</v>
      </c>
      <c r="D46" s="2592"/>
      <c r="E46" s="2592"/>
      <c r="F46" s="2592"/>
      <c r="G46" s="2592"/>
      <c r="H46" s="2592"/>
      <c r="I46" s="2592"/>
      <c r="J46" s="2592"/>
      <c r="K46" s="2591">
        <f>K47+K48</f>
        <v>0</v>
      </c>
      <c r="L46" s="2591">
        <f>L47+L48</f>
        <v>81860</v>
      </c>
      <c r="M46" s="2591">
        <f>M47+M48</f>
        <v>81860</v>
      </c>
      <c r="N46" s="2592"/>
      <c r="O46" s="2591">
        <f>O47+O48</f>
        <v>81860</v>
      </c>
      <c r="P46" s="2593">
        <f>P47+P48</f>
        <v>0</v>
      </c>
      <c r="Q46" s="2594"/>
      <c r="R46" s="2593">
        <f>R47+R48</f>
        <v>0</v>
      </c>
      <c r="S46" s="2591">
        <f>S47+S48</f>
        <v>0</v>
      </c>
      <c r="T46" s="2593">
        <f t="shared" ref="T46:AR46" si="27">T47+T48</f>
        <v>0</v>
      </c>
      <c r="U46" s="2593">
        <f t="shared" si="27"/>
        <v>0</v>
      </c>
      <c r="V46" s="2593">
        <f t="shared" si="27"/>
        <v>0</v>
      </c>
      <c r="W46" s="2593">
        <f t="shared" si="27"/>
        <v>0</v>
      </c>
      <c r="X46" s="2593">
        <f t="shared" si="27"/>
        <v>0</v>
      </c>
      <c r="Y46" s="2593">
        <f t="shared" si="27"/>
        <v>0</v>
      </c>
      <c r="Z46" s="2591">
        <f t="shared" si="27"/>
        <v>0</v>
      </c>
      <c r="AA46" s="2591">
        <f t="shared" si="27"/>
        <v>0</v>
      </c>
      <c r="AB46" s="2591">
        <f t="shared" si="27"/>
        <v>0</v>
      </c>
      <c r="AC46" s="2591">
        <f t="shared" si="27"/>
        <v>0</v>
      </c>
      <c r="AD46" s="2591">
        <f t="shared" si="27"/>
        <v>81860</v>
      </c>
      <c r="AE46" s="2591">
        <f t="shared" si="27"/>
        <v>0</v>
      </c>
      <c r="AF46" s="2591">
        <f t="shared" si="27"/>
        <v>81860</v>
      </c>
      <c r="AG46" s="2591">
        <f t="shared" si="27"/>
        <v>0</v>
      </c>
      <c r="AH46" s="2591">
        <f t="shared" si="27"/>
        <v>0</v>
      </c>
      <c r="AI46" s="2591">
        <f t="shared" si="27"/>
        <v>0</v>
      </c>
      <c r="AJ46" s="2591">
        <f t="shared" si="27"/>
        <v>0</v>
      </c>
      <c r="AK46" s="2591">
        <f t="shared" si="27"/>
        <v>0</v>
      </c>
      <c r="AL46" s="2591">
        <f t="shared" si="27"/>
        <v>0</v>
      </c>
      <c r="AM46" s="2591">
        <f t="shared" si="27"/>
        <v>0</v>
      </c>
      <c r="AN46" s="2591">
        <f t="shared" si="27"/>
        <v>0</v>
      </c>
      <c r="AO46" s="2591">
        <f t="shared" si="27"/>
        <v>0</v>
      </c>
      <c r="AP46" s="2591">
        <f t="shared" si="27"/>
        <v>0</v>
      </c>
      <c r="AQ46" s="2591">
        <f t="shared" si="27"/>
        <v>0</v>
      </c>
      <c r="AR46" s="2591">
        <f t="shared" si="27"/>
        <v>0</v>
      </c>
      <c r="AS46" s="2592"/>
      <c r="AT46" s="2595"/>
      <c r="AU46" s="2595"/>
      <c r="AV46" s="2595"/>
      <c r="AW46" s="2595"/>
      <c r="AX46" s="2595"/>
      <c r="AY46" s="2595"/>
      <c r="AZ46" s="2595"/>
      <c r="BA46" s="2595"/>
      <c r="BB46" s="2595"/>
      <c r="BC46" s="2595"/>
      <c r="BD46" s="2595"/>
      <c r="BE46" s="2595"/>
      <c r="BF46" s="2595"/>
      <c r="BG46" s="2595"/>
      <c r="BH46" s="2595"/>
      <c r="BI46" s="2595"/>
      <c r="BJ46" s="2595"/>
      <c r="BK46" s="2595"/>
      <c r="BL46" s="2595"/>
      <c r="BM46" s="2595"/>
      <c r="BN46" s="2595"/>
      <c r="BO46" s="2595"/>
      <c r="BP46" s="2595"/>
    </row>
    <row r="47" spans="1:68" s="2580" customFormat="1" ht="21.75" customHeight="1" x14ac:dyDescent="0.25">
      <c r="A47" s="2574" t="s">
        <v>23</v>
      </c>
      <c r="B47" s="2575" t="s">
        <v>1118</v>
      </c>
      <c r="C47" s="2576">
        <f>J47+K47</f>
        <v>0</v>
      </c>
      <c r="D47" s="2577"/>
      <c r="E47" s="2566"/>
      <c r="F47" s="2566"/>
      <c r="G47" s="2577"/>
      <c r="H47" s="2577"/>
      <c r="I47" s="2577"/>
      <c r="J47" s="2577"/>
      <c r="K47" s="2577"/>
      <c r="L47" s="2577">
        <f>M47+P47</f>
        <v>78860</v>
      </c>
      <c r="M47" s="2577">
        <f>N47+O47</f>
        <v>78860</v>
      </c>
      <c r="N47" s="2577"/>
      <c r="O47" s="2577">
        <v>78860</v>
      </c>
      <c r="P47" s="2588">
        <f>W47+X47</f>
        <v>0</v>
      </c>
      <c r="Q47" s="2578"/>
      <c r="R47" s="2578"/>
      <c r="S47" s="2577">
        <f>SUM(Z47:AC47)</f>
        <v>0</v>
      </c>
      <c r="T47" s="2578"/>
      <c r="U47" s="2578"/>
      <c r="V47" s="2578"/>
      <c r="W47" s="2578"/>
      <c r="X47" s="2578"/>
      <c r="Y47" s="2578"/>
      <c r="Z47" s="2577"/>
      <c r="AA47" s="2577"/>
      <c r="AB47" s="2577"/>
      <c r="AC47" s="2577">
        <v>0</v>
      </c>
      <c r="AD47" s="2611">
        <f>AE47+AF47</f>
        <v>78860</v>
      </c>
      <c r="AE47" s="2577"/>
      <c r="AF47" s="2577">
        <f>L47-S47</f>
        <v>78860</v>
      </c>
      <c r="AG47" s="2577"/>
      <c r="AH47" s="2577"/>
      <c r="AI47" s="2577"/>
      <c r="AJ47" s="2577"/>
      <c r="AK47" s="2577"/>
      <c r="AL47" s="2577"/>
      <c r="AM47" s="2577"/>
      <c r="AN47" s="2577"/>
      <c r="AO47" s="2577"/>
      <c r="AP47" s="2577"/>
      <c r="AQ47" s="2577"/>
      <c r="AR47" s="2577"/>
      <c r="AS47" s="2577"/>
      <c r="AT47" s="2579"/>
      <c r="AU47" s="2579"/>
      <c r="AV47" s="2579"/>
      <c r="AW47" s="2579"/>
      <c r="AX47" s="2579"/>
      <c r="AY47" s="2579"/>
      <c r="AZ47" s="2579"/>
      <c r="BA47" s="2579"/>
      <c r="BB47" s="2579"/>
      <c r="BC47" s="2579"/>
      <c r="BD47" s="2579"/>
      <c r="BE47" s="2579"/>
      <c r="BF47" s="2579"/>
      <c r="BG47" s="2579"/>
      <c r="BH47" s="2579"/>
      <c r="BI47" s="2579"/>
      <c r="BJ47" s="2579"/>
      <c r="BK47" s="2579"/>
      <c r="BL47" s="2579"/>
      <c r="BM47" s="2579"/>
      <c r="BN47" s="2579"/>
      <c r="BO47" s="2579"/>
      <c r="BP47" s="2579"/>
    </row>
    <row r="48" spans="1:68" s="2580" customFormat="1" ht="21.75" customHeight="1" x14ac:dyDescent="0.25">
      <c r="A48" s="2574" t="s">
        <v>23</v>
      </c>
      <c r="B48" s="2575" t="s">
        <v>1119</v>
      </c>
      <c r="C48" s="2576">
        <f>J48+K48</f>
        <v>0</v>
      </c>
      <c r="D48" s="2577"/>
      <c r="E48" s="2566"/>
      <c r="F48" s="2566"/>
      <c r="G48" s="2577"/>
      <c r="H48" s="2577"/>
      <c r="I48" s="2577"/>
      <c r="J48" s="2577"/>
      <c r="K48" s="2577"/>
      <c r="L48" s="2577">
        <f t="shared" ref="L48:L49" si="28">M48+P48</f>
        <v>3000</v>
      </c>
      <c r="M48" s="2577">
        <f t="shared" ref="M48:M49" si="29">N48+O48</f>
        <v>3000</v>
      </c>
      <c r="N48" s="2577"/>
      <c r="O48" s="2577">
        <v>3000</v>
      </c>
      <c r="P48" s="2588">
        <f>W48+X48</f>
        <v>0</v>
      </c>
      <c r="Q48" s="2578"/>
      <c r="R48" s="2578"/>
      <c r="S48" s="2577">
        <f>SUM(Z48:AC48)</f>
        <v>0</v>
      </c>
      <c r="T48" s="2578"/>
      <c r="U48" s="2578"/>
      <c r="V48" s="2578"/>
      <c r="W48" s="2578"/>
      <c r="X48" s="2578"/>
      <c r="Y48" s="2578"/>
      <c r="Z48" s="2577"/>
      <c r="AA48" s="2577"/>
      <c r="AB48" s="2577"/>
      <c r="AC48" s="2577">
        <v>0</v>
      </c>
      <c r="AD48" s="2576">
        <f>AE48+AF48</f>
        <v>3000</v>
      </c>
      <c r="AE48" s="2577"/>
      <c r="AF48" s="2577">
        <f>L48-S48</f>
        <v>3000</v>
      </c>
      <c r="AG48" s="2577"/>
      <c r="AH48" s="2577"/>
      <c r="AI48" s="2577"/>
      <c r="AJ48" s="2577"/>
      <c r="AK48" s="2577"/>
      <c r="AL48" s="2577"/>
      <c r="AM48" s="2577"/>
      <c r="AN48" s="2577"/>
      <c r="AO48" s="2577"/>
      <c r="AP48" s="2577"/>
      <c r="AQ48" s="2577"/>
      <c r="AR48" s="2577"/>
      <c r="AS48" s="2577"/>
      <c r="AT48" s="2579"/>
      <c r="AU48" s="2579"/>
      <c r="AV48" s="2579"/>
      <c r="AW48" s="2579"/>
      <c r="AX48" s="2579"/>
      <c r="AY48" s="2579"/>
      <c r="AZ48" s="2579"/>
      <c r="BA48" s="2579"/>
      <c r="BB48" s="2579"/>
      <c r="BC48" s="2579"/>
      <c r="BD48" s="2579"/>
      <c r="BE48" s="2579"/>
      <c r="BF48" s="2579"/>
      <c r="BG48" s="2579"/>
      <c r="BH48" s="2579"/>
      <c r="BI48" s="2579"/>
      <c r="BJ48" s="2579"/>
      <c r="BK48" s="2579"/>
      <c r="BL48" s="2579"/>
      <c r="BM48" s="2579"/>
      <c r="BN48" s="2579"/>
      <c r="BO48" s="2579"/>
      <c r="BP48" s="2579"/>
    </row>
    <row r="49" spans="1:68" s="2580" customFormat="1" ht="15" x14ac:dyDescent="0.25">
      <c r="A49" s="2574" t="s">
        <v>23</v>
      </c>
      <c r="B49" s="2575" t="s">
        <v>502</v>
      </c>
      <c r="C49" s="2576"/>
      <c r="D49" s="2577"/>
      <c r="E49" s="2577"/>
      <c r="F49" s="2577"/>
      <c r="G49" s="2577"/>
      <c r="H49" s="2577"/>
      <c r="I49" s="2577"/>
      <c r="J49" s="2577"/>
      <c r="K49" s="2577"/>
      <c r="L49" s="2577">
        <f t="shared" si="28"/>
        <v>0</v>
      </c>
      <c r="M49" s="2577">
        <f t="shared" si="29"/>
        <v>0</v>
      </c>
      <c r="N49" s="2577"/>
      <c r="O49" s="2577"/>
      <c r="P49" s="2578"/>
      <c r="Q49" s="2578"/>
      <c r="R49" s="2578"/>
      <c r="S49" s="2577"/>
      <c r="T49" s="2578"/>
      <c r="U49" s="2578"/>
      <c r="V49" s="2578"/>
      <c r="W49" s="2578"/>
      <c r="X49" s="2578"/>
      <c r="Y49" s="2578"/>
      <c r="Z49" s="2577"/>
      <c r="AA49" s="2577"/>
      <c r="AB49" s="2577"/>
      <c r="AC49" s="2577"/>
      <c r="AD49" s="2577"/>
      <c r="AE49" s="2577"/>
      <c r="AF49" s="2577"/>
      <c r="AG49" s="2577"/>
      <c r="AH49" s="2577"/>
      <c r="AI49" s="2577"/>
      <c r="AJ49" s="2577"/>
      <c r="AK49" s="2577"/>
      <c r="AL49" s="2577"/>
      <c r="AM49" s="2577"/>
      <c r="AN49" s="2577"/>
      <c r="AO49" s="2577"/>
      <c r="AP49" s="2577"/>
      <c r="AQ49" s="2577"/>
      <c r="AR49" s="2577"/>
      <c r="AS49" s="2577"/>
      <c r="AT49" s="2579"/>
      <c r="AU49" s="2579"/>
      <c r="AV49" s="2579"/>
      <c r="AW49" s="2579"/>
      <c r="AX49" s="2579"/>
      <c r="AY49" s="2579"/>
      <c r="AZ49" s="2579"/>
      <c r="BA49" s="2579"/>
      <c r="BB49" s="2579"/>
      <c r="BC49" s="2579"/>
      <c r="BD49" s="2579"/>
      <c r="BE49" s="2579"/>
      <c r="BF49" s="2579"/>
      <c r="BG49" s="2579"/>
      <c r="BH49" s="2579"/>
      <c r="BI49" s="2579"/>
      <c r="BJ49" s="2579"/>
      <c r="BK49" s="2579"/>
      <c r="BL49" s="2579"/>
      <c r="BM49" s="2579"/>
      <c r="BN49" s="2579"/>
      <c r="BO49" s="2579"/>
      <c r="BP49" s="2579"/>
    </row>
    <row r="50" spans="1:68" s="2583" customFormat="1" ht="30" x14ac:dyDescent="0.25">
      <c r="A50" s="2589">
        <v>3</v>
      </c>
      <c r="B50" s="2590" t="s">
        <v>1394</v>
      </c>
      <c r="C50" s="2591">
        <f>SUM(C51:C53)</f>
        <v>0</v>
      </c>
      <c r="D50" s="2591">
        <f t="shared" ref="D50:J50" si="30">SUM(D51:D53)</f>
        <v>0</v>
      </c>
      <c r="E50" s="2591">
        <f t="shared" si="30"/>
        <v>0</v>
      </c>
      <c r="F50" s="2591">
        <f t="shared" si="30"/>
        <v>0</v>
      </c>
      <c r="G50" s="2591">
        <f t="shared" si="30"/>
        <v>0</v>
      </c>
      <c r="H50" s="2591">
        <f t="shared" si="30"/>
        <v>0</v>
      </c>
      <c r="I50" s="2591">
        <f t="shared" si="30"/>
        <v>0</v>
      </c>
      <c r="J50" s="2591">
        <f t="shared" si="30"/>
        <v>0</v>
      </c>
      <c r="K50" s="2591">
        <f>SUM(K51:K53)</f>
        <v>0</v>
      </c>
      <c r="L50" s="2591">
        <f>SUM(L51:L53)</f>
        <v>908000</v>
      </c>
      <c r="M50" s="2591">
        <f>SUM(M51:M53)</f>
        <v>908000</v>
      </c>
      <c r="N50" s="2591">
        <f t="shared" ref="N50:O50" si="31">SUM(N51:N53)</f>
        <v>0</v>
      </c>
      <c r="O50" s="2591">
        <f t="shared" si="31"/>
        <v>908000</v>
      </c>
      <c r="P50" s="2593">
        <f>SUM(P51:P53)</f>
        <v>0</v>
      </c>
      <c r="Q50" s="2593">
        <f t="shared" ref="Q50:AC50" si="32">SUM(Q51:Q53)</f>
        <v>0</v>
      </c>
      <c r="R50" s="2593">
        <f t="shared" si="32"/>
        <v>0</v>
      </c>
      <c r="S50" s="2591">
        <f t="shared" si="32"/>
        <v>145809.5</v>
      </c>
      <c r="T50" s="2593">
        <f t="shared" si="32"/>
        <v>0</v>
      </c>
      <c r="U50" s="2593">
        <f t="shared" si="32"/>
        <v>0</v>
      </c>
      <c r="V50" s="2593">
        <f t="shared" si="32"/>
        <v>0</v>
      </c>
      <c r="W50" s="2593">
        <f t="shared" si="32"/>
        <v>0</v>
      </c>
      <c r="X50" s="2593">
        <f t="shared" si="32"/>
        <v>0</v>
      </c>
      <c r="Y50" s="2593">
        <f t="shared" si="32"/>
        <v>0</v>
      </c>
      <c r="Z50" s="2591">
        <f t="shared" si="32"/>
        <v>0</v>
      </c>
      <c r="AA50" s="2591">
        <f t="shared" si="32"/>
        <v>0</v>
      </c>
      <c r="AB50" s="2591">
        <f t="shared" si="32"/>
        <v>0</v>
      </c>
      <c r="AC50" s="2591">
        <f t="shared" si="32"/>
        <v>145809.5</v>
      </c>
      <c r="AD50" s="2591">
        <f t="shared" ref="AD50" si="33">AD51+AD52</f>
        <v>751332</v>
      </c>
      <c r="AE50" s="2591">
        <f t="shared" ref="AE50:AR50" si="34">SUM(AE51:AE53)</f>
        <v>0</v>
      </c>
      <c r="AF50" s="2591">
        <f t="shared" si="34"/>
        <v>751332</v>
      </c>
      <c r="AG50" s="2591">
        <f t="shared" si="34"/>
        <v>0</v>
      </c>
      <c r="AH50" s="2591">
        <f t="shared" si="34"/>
        <v>0</v>
      </c>
      <c r="AI50" s="2591">
        <f t="shared" si="34"/>
        <v>0</v>
      </c>
      <c r="AJ50" s="2591">
        <f t="shared" si="34"/>
        <v>0</v>
      </c>
      <c r="AK50" s="2591">
        <f t="shared" si="34"/>
        <v>0</v>
      </c>
      <c r="AL50" s="2591">
        <f t="shared" si="34"/>
        <v>0</v>
      </c>
      <c r="AM50" s="2591">
        <f t="shared" si="34"/>
        <v>0</v>
      </c>
      <c r="AN50" s="2591">
        <f t="shared" si="34"/>
        <v>0</v>
      </c>
      <c r="AO50" s="2591">
        <f t="shared" si="34"/>
        <v>0</v>
      </c>
      <c r="AP50" s="2591">
        <f t="shared" si="34"/>
        <v>0</v>
      </c>
      <c r="AQ50" s="2591">
        <f t="shared" si="34"/>
        <v>0</v>
      </c>
      <c r="AR50" s="2591">
        <f t="shared" si="34"/>
        <v>10858.5</v>
      </c>
      <c r="AS50" s="2592"/>
      <c r="AT50" s="2582"/>
      <c r="AU50" s="2582"/>
      <c r="AV50" s="2582"/>
      <c r="AW50" s="2582"/>
      <c r="AX50" s="2582"/>
      <c r="AY50" s="2582"/>
      <c r="AZ50" s="2582"/>
      <c r="BA50" s="2582"/>
      <c r="BB50" s="2582"/>
      <c r="BC50" s="2582"/>
      <c r="BD50" s="2582"/>
      <c r="BE50" s="2582"/>
      <c r="BF50" s="2582"/>
      <c r="BG50" s="2582"/>
      <c r="BH50" s="2582"/>
      <c r="BI50" s="2582"/>
      <c r="BJ50" s="2582"/>
      <c r="BK50" s="2582"/>
      <c r="BL50" s="2582"/>
      <c r="BM50" s="2582"/>
      <c r="BN50" s="2582"/>
      <c r="BO50" s="2582"/>
      <c r="BP50" s="2582"/>
    </row>
    <row r="51" spans="1:68" s="2598" customFormat="1" ht="15" x14ac:dyDescent="0.25">
      <c r="A51" s="2574" t="s">
        <v>23</v>
      </c>
      <c r="B51" s="2575" t="s">
        <v>1118</v>
      </c>
      <c r="C51" s="2576">
        <f>J51+K51</f>
        <v>0</v>
      </c>
      <c r="D51" s="2577"/>
      <c r="E51" s="2577"/>
      <c r="F51" s="2577"/>
      <c r="G51" s="2577"/>
      <c r="H51" s="2577"/>
      <c r="I51" s="2577"/>
      <c r="J51" s="2577">
        <f t="shared" ref="J51:K53" si="35">J55+J59</f>
        <v>0</v>
      </c>
      <c r="K51" s="2577">
        <f t="shared" si="35"/>
        <v>0</v>
      </c>
      <c r="L51" s="2577">
        <f>M51+P51</f>
        <v>886000</v>
      </c>
      <c r="M51" s="2577">
        <f>N51+O51</f>
        <v>886000</v>
      </c>
      <c r="N51" s="2577">
        <f t="shared" ref="N51:O53" si="36">N55+N59</f>
        <v>0</v>
      </c>
      <c r="O51" s="2577">
        <f t="shared" si="36"/>
        <v>886000</v>
      </c>
      <c r="P51" s="2588">
        <f>W51+X51</f>
        <v>0</v>
      </c>
      <c r="Q51" s="2578">
        <f t="shared" ref="Q51:S53" si="37">Q55+Q59</f>
        <v>0</v>
      </c>
      <c r="R51" s="2578">
        <f t="shared" si="37"/>
        <v>0</v>
      </c>
      <c r="S51" s="2577">
        <f t="shared" si="37"/>
        <v>141427.76</v>
      </c>
      <c r="T51" s="2578"/>
      <c r="U51" s="2578"/>
      <c r="V51" s="2578"/>
      <c r="W51" s="2578"/>
      <c r="X51" s="2578"/>
      <c r="Y51" s="2578"/>
      <c r="Z51" s="2577">
        <f t="shared" ref="Z51:AC53" si="38">Z55+Z59</f>
        <v>0</v>
      </c>
      <c r="AA51" s="2577">
        <f t="shared" si="38"/>
        <v>0</v>
      </c>
      <c r="AB51" s="2577">
        <f t="shared" si="38"/>
        <v>0</v>
      </c>
      <c r="AC51" s="2577">
        <f t="shared" si="38"/>
        <v>141427.76</v>
      </c>
      <c r="AD51" s="2576">
        <f>AE51+AF51</f>
        <v>734213.74</v>
      </c>
      <c r="AE51" s="2577">
        <f t="shared" ref="AE51:AF53" si="39">AE55+AE59</f>
        <v>0</v>
      </c>
      <c r="AF51" s="2577">
        <f t="shared" si="39"/>
        <v>734213.74</v>
      </c>
      <c r="AG51" s="2577"/>
      <c r="AH51" s="2577"/>
      <c r="AI51" s="2577"/>
      <c r="AJ51" s="2577"/>
      <c r="AK51" s="2577"/>
      <c r="AL51" s="2577"/>
      <c r="AM51" s="2577"/>
      <c r="AN51" s="2577">
        <f t="shared" ref="AN51:AR53" si="40">AN55+AN59</f>
        <v>0</v>
      </c>
      <c r="AO51" s="2577">
        <f t="shared" si="40"/>
        <v>0</v>
      </c>
      <c r="AP51" s="2577">
        <f t="shared" si="40"/>
        <v>0</v>
      </c>
      <c r="AQ51" s="2577">
        <f t="shared" si="40"/>
        <v>0</v>
      </c>
      <c r="AR51" s="2577">
        <f t="shared" si="40"/>
        <v>10358.5</v>
      </c>
      <c r="AS51" s="2577"/>
      <c r="AT51" s="2597"/>
      <c r="AU51" s="2597"/>
      <c r="AV51" s="2597"/>
      <c r="AW51" s="2597"/>
      <c r="AX51" s="2597"/>
      <c r="AY51" s="2597"/>
      <c r="AZ51" s="2597"/>
      <c r="BA51" s="2597"/>
      <c r="BB51" s="2597"/>
      <c r="BC51" s="2597"/>
      <c r="BD51" s="2597"/>
      <c r="BE51" s="2597"/>
      <c r="BF51" s="2597"/>
      <c r="BG51" s="2597"/>
      <c r="BH51" s="2597"/>
      <c r="BI51" s="2597"/>
      <c r="BJ51" s="2597"/>
      <c r="BK51" s="2597"/>
      <c r="BL51" s="2597"/>
      <c r="BM51" s="2597"/>
      <c r="BN51" s="2597"/>
      <c r="BO51" s="2597"/>
      <c r="BP51" s="2597"/>
    </row>
    <row r="52" spans="1:68" s="2598" customFormat="1" ht="15" x14ac:dyDescent="0.25">
      <c r="A52" s="2574" t="s">
        <v>23</v>
      </c>
      <c r="B52" s="2575" t="s">
        <v>1119</v>
      </c>
      <c r="C52" s="2576">
        <f t="shared" ref="C52" si="41">J52+K52</f>
        <v>0</v>
      </c>
      <c r="D52" s="2577"/>
      <c r="E52" s="2577"/>
      <c r="F52" s="2577"/>
      <c r="G52" s="2577"/>
      <c r="H52" s="2577"/>
      <c r="I52" s="2577"/>
      <c r="J52" s="2577">
        <f t="shared" si="35"/>
        <v>0</v>
      </c>
      <c r="K52" s="2577">
        <f t="shared" si="35"/>
        <v>0</v>
      </c>
      <c r="L52" s="2577">
        <f t="shared" ref="L52:L53" si="42">M52+P52</f>
        <v>22000</v>
      </c>
      <c r="M52" s="2577">
        <f t="shared" ref="M52:M53" si="43">N52+O52</f>
        <v>22000</v>
      </c>
      <c r="N52" s="2577">
        <f t="shared" si="36"/>
        <v>0</v>
      </c>
      <c r="O52" s="2577">
        <f t="shared" si="36"/>
        <v>22000</v>
      </c>
      <c r="P52" s="2588">
        <f t="shared" ref="P52:P53" si="44">W52+X52</f>
        <v>0</v>
      </c>
      <c r="Q52" s="2578">
        <f t="shared" si="37"/>
        <v>0</v>
      </c>
      <c r="R52" s="2578">
        <f t="shared" si="37"/>
        <v>0</v>
      </c>
      <c r="S52" s="2577">
        <f t="shared" si="37"/>
        <v>4381.74</v>
      </c>
      <c r="T52" s="2578"/>
      <c r="U52" s="2578"/>
      <c r="V52" s="2578"/>
      <c r="W52" s="2578"/>
      <c r="X52" s="2578"/>
      <c r="Y52" s="2578"/>
      <c r="Z52" s="2577">
        <f t="shared" si="38"/>
        <v>0</v>
      </c>
      <c r="AA52" s="2577">
        <f t="shared" si="38"/>
        <v>0</v>
      </c>
      <c r="AB52" s="2577">
        <f t="shared" si="38"/>
        <v>0</v>
      </c>
      <c r="AC52" s="2577">
        <f t="shared" si="38"/>
        <v>4381.74</v>
      </c>
      <c r="AD52" s="2576">
        <f>AE52+AF52</f>
        <v>17118.260000000002</v>
      </c>
      <c r="AE52" s="2577">
        <f t="shared" si="39"/>
        <v>0</v>
      </c>
      <c r="AF52" s="2577">
        <f t="shared" si="39"/>
        <v>17118.260000000002</v>
      </c>
      <c r="AG52" s="2577"/>
      <c r="AH52" s="2577"/>
      <c r="AI52" s="2577"/>
      <c r="AJ52" s="2577"/>
      <c r="AK52" s="2577"/>
      <c r="AL52" s="2577"/>
      <c r="AM52" s="2577"/>
      <c r="AN52" s="2577">
        <f t="shared" si="40"/>
        <v>0</v>
      </c>
      <c r="AO52" s="2577">
        <f t="shared" si="40"/>
        <v>0</v>
      </c>
      <c r="AP52" s="2577">
        <f t="shared" si="40"/>
        <v>0</v>
      </c>
      <c r="AQ52" s="2577">
        <f t="shared" si="40"/>
        <v>0</v>
      </c>
      <c r="AR52" s="2577">
        <f t="shared" si="40"/>
        <v>500</v>
      </c>
      <c r="AS52" s="2577"/>
      <c r="AT52" s="2597"/>
      <c r="AU52" s="2597"/>
      <c r="AV52" s="2597"/>
      <c r="AW52" s="2597"/>
      <c r="AX52" s="2597"/>
      <c r="AY52" s="2597"/>
      <c r="AZ52" s="2597"/>
      <c r="BA52" s="2597"/>
      <c r="BB52" s="2597"/>
      <c r="BC52" s="2597"/>
      <c r="BD52" s="2597"/>
      <c r="BE52" s="2597"/>
      <c r="BF52" s="2597"/>
      <c r="BG52" s="2597"/>
      <c r="BH52" s="2597"/>
      <c r="BI52" s="2597"/>
      <c r="BJ52" s="2597"/>
      <c r="BK52" s="2597"/>
      <c r="BL52" s="2597"/>
      <c r="BM52" s="2597"/>
      <c r="BN52" s="2597"/>
      <c r="BO52" s="2597"/>
      <c r="BP52" s="2597"/>
    </row>
    <row r="53" spans="1:68" s="2598" customFormat="1" ht="15" x14ac:dyDescent="0.25">
      <c r="A53" s="2574" t="s">
        <v>23</v>
      </c>
      <c r="B53" s="2575" t="s">
        <v>502</v>
      </c>
      <c r="C53" s="2576">
        <f>J53+K53</f>
        <v>0</v>
      </c>
      <c r="D53" s="2577"/>
      <c r="E53" s="2577"/>
      <c r="F53" s="2577"/>
      <c r="G53" s="2577"/>
      <c r="H53" s="2577"/>
      <c r="I53" s="2577"/>
      <c r="J53" s="2577">
        <f t="shared" si="35"/>
        <v>0</v>
      </c>
      <c r="K53" s="2577">
        <f t="shared" si="35"/>
        <v>0</v>
      </c>
      <c r="L53" s="2577">
        <f t="shared" si="42"/>
        <v>0</v>
      </c>
      <c r="M53" s="2577">
        <f t="shared" si="43"/>
        <v>0</v>
      </c>
      <c r="N53" s="2577">
        <f t="shared" si="36"/>
        <v>0</v>
      </c>
      <c r="O53" s="2577">
        <f t="shared" si="36"/>
        <v>0</v>
      </c>
      <c r="P53" s="2588">
        <f t="shared" si="44"/>
        <v>0</v>
      </c>
      <c r="Q53" s="2578">
        <f t="shared" si="37"/>
        <v>0</v>
      </c>
      <c r="R53" s="2578">
        <f t="shared" si="37"/>
        <v>0</v>
      </c>
      <c r="S53" s="2577">
        <f t="shared" si="37"/>
        <v>0</v>
      </c>
      <c r="T53" s="2578"/>
      <c r="U53" s="2578"/>
      <c r="V53" s="2578"/>
      <c r="W53" s="2578"/>
      <c r="X53" s="2578"/>
      <c r="Y53" s="2578"/>
      <c r="Z53" s="2577">
        <f t="shared" si="38"/>
        <v>0</v>
      </c>
      <c r="AA53" s="2577">
        <f t="shared" si="38"/>
        <v>0</v>
      </c>
      <c r="AB53" s="2577">
        <f t="shared" si="38"/>
        <v>0</v>
      </c>
      <c r="AC53" s="2577">
        <f t="shared" si="38"/>
        <v>0</v>
      </c>
      <c r="AD53" s="2577"/>
      <c r="AE53" s="2577">
        <f t="shared" si="39"/>
        <v>0</v>
      </c>
      <c r="AF53" s="2577">
        <f t="shared" si="39"/>
        <v>0</v>
      </c>
      <c r="AG53" s="2577"/>
      <c r="AH53" s="2577"/>
      <c r="AI53" s="2577"/>
      <c r="AJ53" s="2577"/>
      <c r="AK53" s="2577"/>
      <c r="AL53" s="2577"/>
      <c r="AM53" s="2577"/>
      <c r="AN53" s="2577">
        <f t="shared" si="40"/>
        <v>0</v>
      </c>
      <c r="AO53" s="2577">
        <f t="shared" si="40"/>
        <v>0</v>
      </c>
      <c r="AP53" s="2577">
        <f t="shared" si="40"/>
        <v>0</v>
      </c>
      <c r="AQ53" s="2577">
        <f t="shared" si="40"/>
        <v>0</v>
      </c>
      <c r="AR53" s="2577">
        <f t="shared" si="40"/>
        <v>0</v>
      </c>
      <c r="AS53" s="2577"/>
      <c r="AT53" s="2597"/>
      <c r="AU53" s="2597"/>
      <c r="AV53" s="2597"/>
      <c r="AW53" s="2597"/>
      <c r="AX53" s="2597"/>
      <c r="AY53" s="2597"/>
      <c r="AZ53" s="2597"/>
      <c r="BA53" s="2597"/>
      <c r="BB53" s="2597"/>
      <c r="BC53" s="2597"/>
      <c r="BD53" s="2597"/>
      <c r="BE53" s="2597"/>
      <c r="BF53" s="2597"/>
      <c r="BG53" s="2597"/>
      <c r="BH53" s="2597"/>
      <c r="BI53" s="2597"/>
      <c r="BJ53" s="2597"/>
      <c r="BK53" s="2597"/>
      <c r="BL53" s="2597"/>
      <c r="BM53" s="2597"/>
      <c r="BN53" s="2597"/>
      <c r="BO53" s="2597"/>
      <c r="BP53" s="2597"/>
    </row>
    <row r="54" spans="1:68" s="2583" customFormat="1" ht="45" x14ac:dyDescent="0.25">
      <c r="A54" s="2599" t="s">
        <v>573</v>
      </c>
      <c r="B54" s="2600" t="s">
        <v>2100</v>
      </c>
      <c r="C54" s="2601">
        <f>SUM(C55:C57)</f>
        <v>0</v>
      </c>
      <c r="D54" s="2602"/>
      <c r="E54" s="2602"/>
      <c r="F54" s="2602"/>
      <c r="G54" s="2602"/>
      <c r="H54" s="2602"/>
      <c r="I54" s="2602"/>
      <c r="J54" s="2602"/>
      <c r="K54" s="2602"/>
      <c r="L54" s="2601">
        <f>SUM(L55:L57)</f>
        <v>503000</v>
      </c>
      <c r="M54" s="2601">
        <f>SUM(M55:M57)</f>
        <v>503000</v>
      </c>
      <c r="N54" s="2602"/>
      <c r="O54" s="2601">
        <f>O55+O56</f>
        <v>503000</v>
      </c>
      <c r="P54" s="2603">
        <f>SUM(P55:P57)</f>
        <v>0</v>
      </c>
      <c r="Q54" s="2604"/>
      <c r="R54" s="2604"/>
      <c r="S54" s="2601">
        <f>S55+S56</f>
        <v>0</v>
      </c>
      <c r="T54" s="2604"/>
      <c r="U54" s="2604"/>
      <c r="V54" s="2604"/>
      <c r="W54" s="2604"/>
      <c r="X54" s="2604"/>
      <c r="Y54" s="2604"/>
      <c r="Z54" s="2602"/>
      <c r="AA54" s="2601">
        <f>AA55+AA56</f>
        <v>0</v>
      </c>
      <c r="AB54" s="2602"/>
      <c r="AC54" s="2601">
        <f>AC55+AC56</f>
        <v>0</v>
      </c>
      <c r="AD54" s="2601">
        <f t="shared" ref="AD54" si="45">AD55+AD56</f>
        <v>492390</v>
      </c>
      <c r="AE54" s="2602"/>
      <c r="AF54" s="2601">
        <f>AF55+AF56</f>
        <v>492390</v>
      </c>
      <c r="AG54" s="2602"/>
      <c r="AH54" s="2602"/>
      <c r="AI54" s="2602"/>
      <c r="AJ54" s="2602"/>
      <c r="AK54" s="2602"/>
      <c r="AL54" s="2602"/>
      <c r="AM54" s="2602"/>
      <c r="AN54" s="2602"/>
      <c r="AO54" s="2601">
        <f>AO55+AO56</f>
        <v>0</v>
      </c>
      <c r="AP54" s="2602"/>
      <c r="AQ54" s="2601">
        <f>AQ55+AQ56</f>
        <v>0</v>
      </c>
      <c r="AR54" s="2601">
        <f>AR55+AR56</f>
        <v>10610</v>
      </c>
      <c r="AS54" s="2602"/>
      <c r="AT54" s="2582"/>
      <c r="AU54" s="2582"/>
      <c r="AV54" s="2582"/>
      <c r="AW54" s="2582"/>
      <c r="AX54" s="2582"/>
      <c r="AY54" s="2582"/>
      <c r="AZ54" s="2582"/>
      <c r="BA54" s="2582"/>
      <c r="BB54" s="2582"/>
      <c r="BC54" s="2582"/>
      <c r="BD54" s="2582"/>
      <c r="BE54" s="2582"/>
      <c r="BF54" s="2582"/>
      <c r="BG54" s="2582"/>
      <c r="BH54" s="2582"/>
      <c r="BI54" s="2582"/>
      <c r="BJ54" s="2582"/>
      <c r="BK54" s="2582"/>
      <c r="BL54" s="2582"/>
      <c r="BM54" s="2582"/>
      <c r="BN54" s="2582"/>
      <c r="BO54" s="2582"/>
      <c r="BP54" s="2582"/>
    </row>
    <row r="55" spans="1:68" s="2598" customFormat="1" ht="15" x14ac:dyDescent="0.25">
      <c r="A55" s="2574" t="s">
        <v>23</v>
      </c>
      <c r="B55" s="2575" t="s">
        <v>1118</v>
      </c>
      <c r="C55" s="2576">
        <f>J55+K55</f>
        <v>0</v>
      </c>
      <c r="D55" s="2577"/>
      <c r="E55" s="2577"/>
      <c r="F55" s="2577"/>
      <c r="G55" s="2577"/>
      <c r="H55" s="2577"/>
      <c r="I55" s="2577"/>
      <c r="J55" s="2577"/>
      <c r="K55" s="2577"/>
      <c r="L55" s="2577">
        <f>M55+P55</f>
        <v>493000</v>
      </c>
      <c r="M55" s="2577">
        <f>N55+O55</f>
        <v>493000</v>
      </c>
      <c r="N55" s="2577"/>
      <c r="O55" s="2577">
        <f>10110+482890</f>
        <v>493000</v>
      </c>
      <c r="P55" s="2588">
        <f>W55+X55</f>
        <v>0</v>
      </c>
      <c r="Q55" s="2578"/>
      <c r="R55" s="2578"/>
      <c r="S55" s="2577">
        <f>SUM(Z55:AC55)</f>
        <v>0</v>
      </c>
      <c r="T55" s="2578"/>
      <c r="U55" s="2578"/>
      <c r="V55" s="2578"/>
      <c r="W55" s="2578"/>
      <c r="X55" s="2578"/>
      <c r="Y55" s="2578"/>
      <c r="Z55" s="2577"/>
      <c r="AA55" s="2577"/>
      <c r="AB55" s="2577"/>
      <c r="AC55" s="2577"/>
      <c r="AD55" s="2611">
        <f>AE55+AF55</f>
        <v>482890</v>
      </c>
      <c r="AE55" s="2577"/>
      <c r="AF55" s="2577">
        <v>482890</v>
      </c>
      <c r="AG55" s="2577"/>
      <c r="AH55" s="2577"/>
      <c r="AI55" s="2577"/>
      <c r="AJ55" s="2577"/>
      <c r="AK55" s="2577"/>
      <c r="AL55" s="2577"/>
      <c r="AM55" s="2577"/>
      <c r="AN55" s="2577"/>
      <c r="AO55" s="2577"/>
      <c r="AP55" s="2577"/>
      <c r="AQ55" s="2577"/>
      <c r="AR55" s="2577">
        <f>M55-AD55</f>
        <v>10110</v>
      </c>
      <c r="AS55" s="2577"/>
      <c r="AT55" s="2597"/>
      <c r="AU55" s="2597"/>
      <c r="AV55" s="2597"/>
      <c r="AW55" s="2597"/>
      <c r="AX55" s="2597"/>
      <c r="AY55" s="2597"/>
      <c r="AZ55" s="2597"/>
      <c r="BA55" s="2597"/>
      <c r="BB55" s="2597"/>
      <c r="BC55" s="2597"/>
      <c r="BD55" s="2597"/>
      <c r="BE55" s="2597"/>
      <c r="BF55" s="2597"/>
      <c r="BG55" s="2597"/>
      <c r="BH55" s="2597"/>
      <c r="BI55" s="2597"/>
      <c r="BJ55" s="2597"/>
      <c r="BK55" s="2597"/>
      <c r="BL55" s="2597"/>
      <c r="BM55" s="2597"/>
      <c r="BN55" s="2597"/>
      <c r="BO55" s="2597"/>
      <c r="BP55" s="2597"/>
    </row>
    <row r="56" spans="1:68" s="2598" customFormat="1" ht="15" x14ac:dyDescent="0.25">
      <c r="A56" s="2574" t="s">
        <v>23</v>
      </c>
      <c r="B56" s="2575" t="s">
        <v>1119</v>
      </c>
      <c r="C56" s="2576">
        <f t="shared" ref="C56:C57" si="46">J56+K56</f>
        <v>0</v>
      </c>
      <c r="D56" s="2577"/>
      <c r="E56" s="2577"/>
      <c r="F56" s="2577"/>
      <c r="G56" s="2577"/>
      <c r="H56" s="2577"/>
      <c r="I56" s="2577"/>
      <c r="J56" s="2577"/>
      <c r="K56" s="2577"/>
      <c r="L56" s="2577">
        <f t="shared" ref="L56:L57" si="47">M56+P56</f>
        <v>10000</v>
      </c>
      <c r="M56" s="2577">
        <f t="shared" ref="M56:M57" si="48">N56+O56</f>
        <v>10000</v>
      </c>
      <c r="N56" s="2577"/>
      <c r="O56" s="2577">
        <f>500+9500</f>
        <v>10000</v>
      </c>
      <c r="P56" s="2588">
        <f t="shared" ref="P56:P57" si="49">W56+X56</f>
        <v>0</v>
      </c>
      <c r="Q56" s="2578"/>
      <c r="R56" s="2578"/>
      <c r="S56" s="2577">
        <f>SUM(Z56:AC56)</f>
        <v>0</v>
      </c>
      <c r="T56" s="2578"/>
      <c r="U56" s="2578"/>
      <c r="V56" s="2578"/>
      <c r="W56" s="2578"/>
      <c r="X56" s="2578"/>
      <c r="Y56" s="2578"/>
      <c r="Z56" s="2577"/>
      <c r="AA56" s="2577"/>
      <c r="AB56" s="2577"/>
      <c r="AC56" s="2577"/>
      <c r="AD56" s="2576">
        <f>AE56+AF56</f>
        <v>9500</v>
      </c>
      <c r="AE56" s="2577"/>
      <c r="AF56" s="2577">
        <v>9500</v>
      </c>
      <c r="AG56" s="2577"/>
      <c r="AH56" s="2577"/>
      <c r="AI56" s="2577"/>
      <c r="AJ56" s="2577"/>
      <c r="AK56" s="2577"/>
      <c r="AL56" s="2577"/>
      <c r="AM56" s="2577"/>
      <c r="AN56" s="2577"/>
      <c r="AO56" s="2577"/>
      <c r="AP56" s="2577"/>
      <c r="AQ56" s="2577"/>
      <c r="AR56" s="2577">
        <f>M56-AD56</f>
        <v>500</v>
      </c>
      <c r="AS56" s="2577"/>
      <c r="AT56" s="2597"/>
      <c r="AU56" s="2597"/>
      <c r="AV56" s="2597"/>
      <c r="AW56" s="2597"/>
      <c r="AX56" s="2597"/>
      <c r="AY56" s="2597"/>
      <c r="AZ56" s="2597"/>
      <c r="BA56" s="2597"/>
      <c r="BB56" s="2597"/>
      <c r="BC56" s="2597"/>
      <c r="BD56" s="2597"/>
      <c r="BE56" s="2597"/>
      <c r="BF56" s="2597"/>
      <c r="BG56" s="2597"/>
      <c r="BH56" s="2597"/>
      <c r="BI56" s="2597"/>
      <c r="BJ56" s="2597"/>
      <c r="BK56" s="2597"/>
      <c r="BL56" s="2597"/>
      <c r="BM56" s="2597"/>
      <c r="BN56" s="2597"/>
      <c r="BO56" s="2597"/>
      <c r="BP56" s="2597"/>
    </row>
    <row r="57" spans="1:68" s="2598" customFormat="1" ht="15" x14ac:dyDescent="0.25">
      <c r="A57" s="2574" t="s">
        <v>23</v>
      </c>
      <c r="B57" s="2575" t="s">
        <v>502</v>
      </c>
      <c r="C57" s="2576">
        <f t="shared" si="46"/>
        <v>0</v>
      </c>
      <c r="D57" s="2577"/>
      <c r="E57" s="2577"/>
      <c r="F57" s="2577"/>
      <c r="G57" s="2577"/>
      <c r="H57" s="2577"/>
      <c r="I57" s="2577"/>
      <c r="J57" s="2577"/>
      <c r="K57" s="2577"/>
      <c r="L57" s="2577">
        <f t="shared" si="47"/>
        <v>0</v>
      </c>
      <c r="M57" s="2577">
        <f t="shared" si="48"/>
        <v>0</v>
      </c>
      <c r="N57" s="2577"/>
      <c r="O57" s="2577"/>
      <c r="P57" s="2588">
        <f t="shared" si="49"/>
        <v>0</v>
      </c>
      <c r="Q57" s="2578"/>
      <c r="R57" s="2578"/>
      <c r="S57" s="2577"/>
      <c r="T57" s="2578"/>
      <c r="U57" s="2578"/>
      <c r="V57" s="2578"/>
      <c r="W57" s="2578"/>
      <c r="X57" s="2578"/>
      <c r="Y57" s="2578"/>
      <c r="Z57" s="2577"/>
      <c r="AA57" s="2577"/>
      <c r="AB57" s="2577"/>
      <c r="AC57" s="2577"/>
      <c r="AD57" s="2577"/>
      <c r="AE57" s="2577"/>
      <c r="AF57" s="2577"/>
      <c r="AG57" s="2577"/>
      <c r="AH57" s="2577"/>
      <c r="AI57" s="2577"/>
      <c r="AJ57" s="2577"/>
      <c r="AK57" s="2577"/>
      <c r="AL57" s="2577"/>
      <c r="AM57" s="2577"/>
      <c r="AN57" s="2577"/>
      <c r="AO57" s="2577"/>
      <c r="AP57" s="2577"/>
      <c r="AQ57" s="2577"/>
      <c r="AR57" s="2577"/>
      <c r="AS57" s="2577"/>
      <c r="AT57" s="2597"/>
      <c r="AU57" s="2597"/>
      <c r="AV57" s="2597"/>
      <c r="AW57" s="2597"/>
      <c r="AX57" s="2597"/>
      <c r="AY57" s="2597"/>
      <c r="AZ57" s="2597"/>
      <c r="BA57" s="2597"/>
      <c r="BB57" s="2597"/>
      <c r="BC57" s="2597"/>
      <c r="BD57" s="2597"/>
      <c r="BE57" s="2597"/>
      <c r="BF57" s="2597"/>
      <c r="BG57" s="2597"/>
      <c r="BH57" s="2597"/>
      <c r="BI57" s="2597"/>
      <c r="BJ57" s="2597"/>
      <c r="BK57" s="2597"/>
      <c r="BL57" s="2597"/>
      <c r="BM57" s="2597"/>
      <c r="BN57" s="2597"/>
      <c r="BO57" s="2597"/>
      <c r="BP57" s="2597"/>
    </row>
    <row r="58" spans="1:68" s="2583" customFormat="1" ht="30" x14ac:dyDescent="0.25">
      <c r="A58" s="2599" t="s">
        <v>574</v>
      </c>
      <c r="B58" s="2605" t="s">
        <v>2101</v>
      </c>
      <c r="C58" s="2601">
        <f>SUM(C59:C61)</f>
        <v>0</v>
      </c>
      <c r="D58" s="2602"/>
      <c r="E58" s="2602"/>
      <c r="F58" s="2602"/>
      <c r="G58" s="2602"/>
      <c r="H58" s="2602"/>
      <c r="I58" s="2602"/>
      <c r="J58" s="2602"/>
      <c r="K58" s="2602"/>
      <c r="L58" s="2601">
        <f>SUM(L59:L61)</f>
        <v>405000</v>
      </c>
      <c r="M58" s="2601">
        <f>SUM(M59:M61)</f>
        <v>405000</v>
      </c>
      <c r="N58" s="2602"/>
      <c r="O58" s="2601">
        <f>O59+O60</f>
        <v>405000</v>
      </c>
      <c r="P58" s="2603">
        <f>SUM(P59:P61)</f>
        <v>0</v>
      </c>
      <c r="Q58" s="2604"/>
      <c r="R58" s="2604"/>
      <c r="S58" s="2601">
        <f>S59+S60</f>
        <v>145809.5</v>
      </c>
      <c r="T58" s="2604"/>
      <c r="U58" s="2604"/>
      <c r="V58" s="2604"/>
      <c r="W58" s="2604"/>
      <c r="X58" s="2604"/>
      <c r="Y58" s="2604"/>
      <c r="Z58" s="2602"/>
      <c r="AA58" s="2601">
        <f>AA59+AA60</f>
        <v>0</v>
      </c>
      <c r="AB58" s="2602"/>
      <c r="AC58" s="2601">
        <f>AC59+AC60</f>
        <v>145809.5</v>
      </c>
      <c r="AD58" s="2601">
        <f t="shared" ref="AD58" si="50">AD59+AD60</f>
        <v>258942</v>
      </c>
      <c r="AE58" s="2602"/>
      <c r="AF58" s="2601">
        <f>AF59+AF60</f>
        <v>258942</v>
      </c>
      <c r="AG58" s="2602"/>
      <c r="AH58" s="2602"/>
      <c r="AI58" s="2602"/>
      <c r="AJ58" s="2602"/>
      <c r="AK58" s="2602"/>
      <c r="AL58" s="2602"/>
      <c r="AM58" s="2602"/>
      <c r="AN58" s="2602"/>
      <c r="AO58" s="2601">
        <f>AO59+AO60</f>
        <v>0</v>
      </c>
      <c r="AP58" s="2602"/>
      <c r="AQ58" s="2601">
        <f>AQ59+AQ60</f>
        <v>0</v>
      </c>
      <c r="AR58" s="2601">
        <f>AR59+AR60</f>
        <v>248.5</v>
      </c>
      <c r="AS58" s="2602"/>
      <c r="AT58" s="2582"/>
      <c r="AU58" s="2582"/>
      <c r="AV58" s="2582"/>
      <c r="AW58" s="2582"/>
      <c r="AX58" s="2582"/>
      <c r="AY58" s="2582"/>
      <c r="AZ58" s="2582"/>
      <c r="BA58" s="2582"/>
      <c r="BB58" s="2582"/>
      <c r="BC58" s="2582"/>
      <c r="BD58" s="2582"/>
      <c r="BE58" s="2582"/>
      <c r="BF58" s="2582"/>
      <c r="BG58" s="2582"/>
      <c r="BH58" s="2582"/>
      <c r="BI58" s="2582"/>
      <c r="BJ58" s="2582"/>
      <c r="BK58" s="2582"/>
      <c r="BL58" s="2582"/>
      <c r="BM58" s="2582"/>
      <c r="BN58" s="2582"/>
      <c r="BO58" s="2582"/>
      <c r="BP58" s="2582"/>
    </row>
    <row r="59" spans="1:68" s="2598" customFormat="1" ht="15" x14ac:dyDescent="0.25">
      <c r="A59" s="2574" t="s">
        <v>23</v>
      </c>
      <c r="B59" s="2575" t="s">
        <v>1118</v>
      </c>
      <c r="C59" s="2576">
        <f>J59+K59</f>
        <v>0</v>
      </c>
      <c r="D59" s="2577"/>
      <c r="E59" s="2577"/>
      <c r="F59" s="2577"/>
      <c r="G59" s="2577"/>
      <c r="H59" s="2577"/>
      <c r="I59" s="2577"/>
      <c r="J59" s="2577"/>
      <c r="K59" s="2577"/>
      <c r="L59" s="2577">
        <f>M59+P59</f>
        <v>393000</v>
      </c>
      <c r="M59" s="2577">
        <f>N59+O59</f>
        <v>393000</v>
      </c>
      <c r="N59" s="2577"/>
      <c r="O59" s="2577">
        <v>393000</v>
      </c>
      <c r="P59" s="2588">
        <f>W59+X59</f>
        <v>0</v>
      </c>
      <c r="Q59" s="2578"/>
      <c r="R59" s="2578"/>
      <c r="S59" s="2577">
        <f>SUM(Z59:AC59)</f>
        <v>141427.76</v>
      </c>
      <c r="T59" s="2578"/>
      <c r="U59" s="2578"/>
      <c r="V59" s="2578"/>
      <c r="W59" s="2578"/>
      <c r="X59" s="2578"/>
      <c r="Y59" s="2578"/>
      <c r="Z59" s="2577"/>
      <c r="AA59" s="2577"/>
      <c r="AB59" s="2577"/>
      <c r="AC59" s="2577">
        <v>141427.76</v>
      </c>
      <c r="AD59" s="2576">
        <f>AE59+AF59</f>
        <v>251323.74</v>
      </c>
      <c r="AE59" s="2577"/>
      <c r="AF59" s="2577">
        <f>M59-S59-AR59</f>
        <v>251323.74</v>
      </c>
      <c r="AG59" s="2577"/>
      <c r="AH59" s="2577"/>
      <c r="AI59" s="2577"/>
      <c r="AJ59" s="2577"/>
      <c r="AK59" s="2577"/>
      <c r="AL59" s="2577"/>
      <c r="AM59" s="2577"/>
      <c r="AN59" s="2577"/>
      <c r="AO59" s="2577"/>
      <c r="AP59" s="2577"/>
      <c r="AQ59" s="2577"/>
      <c r="AR59" s="2577">
        <v>248.5</v>
      </c>
      <c r="AS59" s="2577"/>
      <c r="AT59" s="2597"/>
      <c r="AU59" s="2597"/>
      <c r="AV59" s="2597"/>
      <c r="AW59" s="2597"/>
      <c r="AX59" s="2597"/>
      <c r="AY59" s="2597"/>
      <c r="AZ59" s="2597"/>
      <c r="BA59" s="2597"/>
      <c r="BB59" s="2597"/>
      <c r="BC59" s="2597"/>
      <c r="BD59" s="2597"/>
      <c r="BE59" s="2597"/>
      <c r="BF59" s="2597"/>
      <c r="BG59" s="2597"/>
      <c r="BH59" s="2597"/>
      <c r="BI59" s="2597"/>
      <c r="BJ59" s="2597"/>
      <c r="BK59" s="2597"/>
      <c r="BL59" s="2597"/>
      <c r="BM59" s="2597"/>
      <c r="BN59" s="2597"/>
      <c r="BO59" s="2597"/>
      <c r="BP59" s="2597"/>
    </row>
    <row r="60" spans="1:68" s="2598" customFormat="1" ht="15" x14ac:dyDescent="0.25">
      <c r="A60" s="2574" t="s">
        <v>23</v>
      </c>
      <c r="B60" s="2575" t="s">
        <v>1119</v>
      </c>
      <c r="C60" s="2576">
        <f t="shared" ref="C60:C61" si="51">J60+K60</f>
        <v>0</v>
      </c>
      <c r="D60" s="2577"/>
      <c r="E60" s="2577"/>
      <c r="F60" s="2577"/>
      <c r="G60" s="2577"/>
      <c r="H60" s="2577"/>
      <c r="I60" s="2577"/>
      <c r="J60" s="2577"/>
      <c r="K60" s="2577"/>
      <c r="L60" s="2577">
        <f t="shared" ref="L60:L61" si="52">M60+P60</f>
        <v>12000</v>
      </c>
      <c r="M60" s="2577">
        <f t="shared" ref="M60:M61" si="53">N60+O60</f>
        <v>12000</v>
      </c>
      <c r="N60" s="2577"/>
      <c r="O60" s="2577">
        <v>12000</v>
      </c>
      <c r="P60" s="2588">
        <f t="shared" ref="P60:P61" si="54">W60+X60</f>
        <v>0</v>
      </c>
      <c r="Q60" s="2578"/>
      <c r="R60" s="2578"/>
      <c r="S60" s="2577">
        <f>SUM(Z60:AC60)</f>
        <v>4381.74</v>
      </c>
      <c r="T60" s="2578"/>
      <c r="U60" s="2578"/>
      <c r="V60" s="2578"/>
      <c r="W60" s="2578"/>
      <c r="X60" s="2578"/>
      <c r="Y60" s="2578"/>
      <c r="Z60" s="2577"/>
      <c r="AA60" s="2577"/>
      <c r="AB60" s="2577"/>
      <c r="AC60" s="2577">
        <v>4381.74</v>
      </c>
      <c r="AD60" s="2576">
        <f>AE60+AF60</f>
        <v>7618.26</v>
      </c>
      <c r="AE60" s="2577"/>
      <c r="AF60" s="2577">
        <f>M60-S60</f>
        <v>7618.26</v>
      </c>
      <c r="AG60" s="2577"/>
      <c r="AH60" s="2577"/>
      <c r="AI60" s="2577"/>
      <c r="AJ60" s="2577"/>
      <c r="AK60" s="2577"/>
      <c r="AL60" s="2577"/>
      <c r="AM60" s="2577"/>
      <c r="AN60" s="2577"/>
      <c r="AO60" s="2577"/>
      <c r="AP60" s="2577"/>
      <c r="AQ60" s="2577"/>
      <c r="AR60" s="2577"/>
      <c r="AS60" s="2577"/>
      <c r="AT60" s="2597"/>
      <c r="AU60" s="2597"/>
      <c r="AV60" s="2597"/>
      <c r="AW60" s="2597"/>
      <c r="AX60" s="2597"/>
      <c r="AY60" s="2597"/>
      <c r="AZ60" s="2597"/>
      <c r="BA60" s="2597"/>
      <c r="BB60" s="2597"/>
      <c r="BC60" s="2597"/>
      <c r="BD60" s="2597"/>
      <c r="BE60" s="2597"/>
      <c r="BF60" s="2597"/>
      <c r="BG60" s="2597"/>
      <c r="BH60" s="2597"/>
      <c r="BI60" s="2597"/>
      <c r="BJ60" s="2597"/>
      <c r="BK60" s="2597"/>
      <c r="BL60" s="2597"/>
      <c r="BM60" s="2597"/>
      <c r="BN60" s="2597"/>
      <c r="BO60" s="2597"/>
      <c r="BP60" s="2597"/>
    </row>
    <row r="61" spans="1:68" s="2598" customFormat="1" ht="15" x14ac:dyDescent="0.25">
      <c r="A61" s="2574" t="s">
        <v>23</v>
      </c>
      <c r="B61" s="2575" t="s">
        <v>502</v>
      </c>
      <c r="C61" s="2576">
        <f t="shared" si="51"/>
        <v>0</v>
      </c>
      <c r="D61" s="2577"/>
      <c r="E61" s="2577"/>
      <c r="F61" s="2577"/>
      <c r="G61" s="2577"/>
      <c r="H61" s="2577"/>
      <c r="I61" s="2577"/>
      <c r="J61" s="2577"/>
      <c r="K61" s="2577"/>
      <c r="L61" s="2577">
        <f t="shared" si="52"/>
        <v>0</v>
      </c>
      <c r="M61" s="2577">
        <f t="shared" si="53"/>
        <v>0</v>
      </c>
      <c r="N61" s="2577"/>
      <c r="O61" s="2577"/>
      <c r="P61" s="2588">
        <f t="shared" si="54"/>
        <v>0</v>
      </c>
      <c r="Q61" s="2578"/>
      <c r="R61" s="2578"/>
      <c r="S61" s="2577"/>
      <c r="T61" s="2578"/>
      <c r="U61" s="2578"/>
      <c r="V61" s="2578"/>
      <c r="W61" s="2578"/>
      <c r="X61" s="2578"/>
      <c r="Y61" s="2578"/>
      <c r="Z61" s="2577"/>
      <c r="AA61" s="2577"/>
      <c r="AB61" s="2577"/>
      <c r="AC61" s="2577"/>
      <c r="AD61" s="2577"/>
      <c r="AE61" s="2577"/>
      <c r="AF61" s="2577"/>
      <c r="AG61" s="2577"/>
      <c r="AH61" s="2577"/>
      <c r="AI61" s="2577"/>
      <c r="AJ61" s="2577"/>
      <c r="AK61" s="2577"/>
      <c r="AL61" s="2577"/>
      <c r="AM61" s="2577"/>
      <c r="AN61" s="2577"/>
      <c r="AO61" s="2577"/>
      <c r="AP61" s="2577"/>
      <c r="AQ61" s="2577"/>
      <c r="AR61" s="2577"/>
      <c r="AS61" s="2577"/>
      <c r="AT61" s="2597"/>
      <c r="AU61" s="2597"/>
      <c r="AV61" s="2597"/>
      <c r="AW61" s="2597"/>
      <c r="AX61" s="2597"/>
      <c r="AY61" s="2597"/>
      <c r="AZ61" s="2597"/>
      <c r="BA61" s="2597"/>
      <c r="BB61" s="2597"/>
      <c r="BC61" s="2597"/>
      <c r="BD61" s="2597"/>
      <c r="BE61" s="2597"/>
      <c r="BF61" s="2597"/>
      <c r="BG61" s="2597"/>
      <c r="BH61" s="2597"/>
      <c r="BI61" s="2597"/>
      <c r="BJ61" s="2597"/>
      <c r="BK61" s="2597"/>
      <c r="BL61" s="2597"/>
      <c r="BM61" s="2597"/>
      <c r="BN61" s="2597"/>
      <c r="BO61" s="2597"/>
      <c r="BP61" s="2597"/>
    </row>
    <row r="62" spans="1:68" s="2583" customFormat="1" ht="30" x14ac:dyDescent="0.25">
      <c r="A62" s="2589">
        <v>4</v>
      </c>
      <c r="B62" s="2590" t="s">
        <v>1395</v>
      </c>
      <c r="C62" s="2591">
        <f>SUM(C63:C65)</f>
        <v>1650.2</v>
      </c>
      <c r="D62" s="2591">
        <f t="shared" ref="D62:J62" si="55">SUM(D63:D65)</f>
        <v>0</v>
      </c>
      <c r="E62" s="2591">
        <f t="shared" si="55"/>
        <v>0</v>
      </c>
      <c r="F62" s="2591">
        <f t="shared" si="55"/>
        <v>0</v>
      </c>
      <c r="G62" s="2591">
        <f t="shared" si="55"/>
        <v>0</v>
      </c>
      <c r="H62" s="2591">
        <f t="shared" si="55"/>
        <v>0</v>
      </c>
      <c r="I62" s="2591">
        <f t="shared" si="55"/>
        <v>0</v>
      </c>
      <c r="J62" s="2591">
        <f t="shared" si="55"/>
        <v>0</v>
      </c>
      <c r="K62" s="2591">
        <f>SUM(K63:K65)</f>
        <v>1650.2</v>
      </c>
      <c r="L62" s="2591">
        <f>SUM(L63:L65)</f>
        <v>67000</v>
      </c>
      <c r="M62" s="2591">
        <f>SUM(M63:M65)</f>
        <v>67000</v>
      </c>
      <c r="N62" s="2591">
        <f t="shared" ref="N62:O62" si="56">SUM(N63:N65)</f>
        <v>0</v>
      </c>
      <c r="O62" s="2591">
        <f t="shared" si="56"/>
        <v>67000</v>
      </c>
      <c r="P62" s="2593">
        <f>SUM(P63:P65)</f>
        <v>0</v>
      </c>
      <c r="Q62" s="2593">
        <f t="shared" ref="Q62:AQ62" si="57">SUM(Q63:Q65)</f>
        <v>0</v>
      </c>
      <c r="R62" s="2593">
        <f t="shared" si="57"/>
        <v>0</v>
      </c>
      <c r="S62" s="2591">
        <f t="shared" si="57"/>
        <v>67651.520000000004</v>
      </c>
      <c r="T62" s="2593">
        <f t="shared" si="57"/>
        <v>0</v>
      </c>
      <c r="U62" s="2593">
        <f t="shared" si="57"/>
        <v>0</v>
      </c>
      <c r="V62" s="2593">
        <f t="shared" si="57"/>
        <v>0</v>
      </c>
      <c r="W62" s="2593">
        <f t="shared" si="57"/>
        <v>0</v>
      </c>
      <c r="X62" s="2593">
        <f t="shared" si="57"/>
        <v>0</v>
      </c>
      <c r="Y62" s="2593">
        <f t="shared" si="57"/>
        <v>0</v>
      </c>
      <c r="Z62" s="2591">
        <f t="shared" si="57"/>
        <v>0</v>
      </c>
      <c r="AA62" s="2591">
        <f t="shared" si="57"/>
        <v>1650.2</v>
      </c>
      <c r="AB62" s="2591">
        <f t="shared" si="57"/>
        <v>0</v>
      </c>
      <c r="AC62" s="2591">
        <f t="shared" si="57"/>
        <v>66001.320000000007</v>
      </c>
      <c r="AD62" s="2591">
        <f t="shared" si="57"/>
        <v>0</v>
      </c>
      <c r="AE62" s="2591">
        <f t="shared" si="57"/>
        <v>0</v>
      </c>
      <c r="AF62" s="2591">
        <f t="shared" si="57"/>
        <v>0</v>
      </c>
      <c r="AG62" s="2591">
        <f t="shared" si="57"/>
        <v>0</v>
      </c>
      <c r="AH62" s="2591">
        <f t="shared" si="57"/>
        <v>0</v>
      </c>
      <c r="AI62" s="2591">
        <f t="shared" si="57"/>
        <v>0</v>
      </c>
      <c r="AJ62" s="2591">
        <f t="shared" si="57"/>
        <v>0</v>
      </c>
      <c r="AK62" s="2591">
        <f t="shared" si="57"/>
        <v>0</v>
      </c>
      <c r="AL62" s="2591">
        <f t="shared" si="57"/>
        <v>0</v>
      </c>
      <c r="AM62" s="2591">
        <f t="shared" si="57"/>
        <v>0</v>
      </c>
      <c r="AN62" s="2591">
        <f t="shared" si="57"/>
        <v>0</v>
      </c>
      <c r="AO62" s="2591">
        <f t="shared" si="57"/>
        <v>0</v>
      </c>
      <c r="AP62" s="2591">
        <f t="shared" si="57"/>
        <v>0</v>
      </c>
      <c r="AQ62" s="2591">
        <f t="shared" si="57"/>
        <v>0</v>
      </c>
      <c r="AR62" s="2591">
        <f>SUM(AR63:AR65)</f>
        <v>998.67999999999984</v>
      </c>
      <c r="AS62" s="2592"/>
      <c r="AT62" s="2582"/>
      <c r="AU62" s="2582"/>
      <c r="AV62" s="2582"/>
      <c r="AW62" s="2582"/>
      <c r="AX62" s="2582"/>
      <c r="AY62" s="2582"/>
      <c r="AZ62" s="2582"/>
      <c r="BA62" s="2582"/>
      <c r="BB62" s="2582"/>
      <c r="BC62" s="2582"/>
      <c r="BD62" s="2582"/>
      <c r="BE62" s="2582"/>
      <c r="BF62" s="2582"/>
      <c r="BG62" s="2582"/>
      <c r="BH62" s="2582"/>
      <c r="BI62" s="2582"/>
      <c r="BJ62" s="2582"/>
      <c r="BK62" s="2582"/>
      <c r="BL62" s="2582"/>
      <c r="BM62" s="2582"/>
      <c r="BN62" s="2582"/>
      <c r="BO62" s="2582"/>
      <c r="BP62" s="2582"/>
    </row>
    <row r="63" spans="1:68" s="2583" customFormat="1" ht="15" x14ac:dyDescent="0.25">
      <c r="A63" s="2574" t="s">
        <v>23</v>
      </c>
      <c r="B63" s="2575" t="s">
        <v>1118</v>
      </c>
      <c r="C63" s="2576">
        <f>J63+K63</f>
        <v>0</v>
      </c>
      <c r="D63" s="2577"/>
      <c r="E63" s="2577"/>
      <c r="F63" s="2577"/>
      <c r="G63" s="2577"/>
      <c r="H63" s="2577"/>
      <c r="I63" s="2577"/>
      <c r="J63" s="2577">
        <f t="shared" ref="J63:K65" si="58">J67+J71</f>
        <v>0</v>
      </c>
      <c r="K63" s="2577">
        <f t="shared" si="58"/>
        <v>0</v>
      </c>
      <c r="L63" s="2577">
        <f>M63+P63</f>
        <v>64000</v>
      </c>
      <c r="M63" s="2577">
        <f>N63+O63</f>
        <v>64000</v>
      </c>
      <c r="N63" s="2577">
        <f t="shared" ref="N63:O65" si="59">N67+N71</f>
        <v>0</v>
      </c>
      <c r="O63" s="2577">
        <f t="shared" si="59"/>
        <v>64000</v>
      </c>
      <c r="P63" s="2588">
        <f>W63+X63</f>
        <v>0</v>
      </c>
      <c r="Q63" s="2578">
        <f t="shared" ref="Q63:S65" si="60">Q67+Q71</f>
        <v>0</v>
      </c>
      <c r="R63" s="2578">
        <f t="shared" si="60"/>
        <v>0</v>
      </c>
      <c r="S63" s="2577">
        <f t="shared" si="60"/>
        <v>64000</v>
      </c>
      <c r="T63" s="2578"/>
      <c r="U63" s="2578"/>
      <c r="V63" s="2578"/>
      <c r="W63" s="2578"/>
      <c r="X63" s="2578"/>
      <c r="Y63" s="2578"/>
      <c r="Z63" s="2577">
        <f t="shared" ref="Z63:AC65" si="61">Z67+Z71</f>
        <v>0</v>
      </c>
      <c r="AA63" s="2577">
        <f t="shared" si="61"/>
        <v>0</v>
      </c>
      <c r="AB63" s="2577">
        <f t="shared" si="61"/>
        <v>0</v>
      </c>
      <c r="AC63" s="2577">
        <f t="shared" si="61"/>
        <v>64000</v>
      </c>
      <c r="AD63" s="2577"/>
      <c r="AE63" s="2577">
        <f t="shared" ref="AE63:AF65" si="62">AE67+AE71</f>
        <v>0</v>
      </c>
      <c r="AF63" s="2577">
        <f t="shared" si="62"/>
        <v>0</v>
      </c>
      <c r="AG63" s="2577"/>
      <c r="AH63" s="2577"/>
      <c r="AI63" s="2577"/>
      <c r="AJ63" s="2577"/>
      <c r="AK63" s="2577"/>
      <c r="AL63" s="2577"/>
      <c r="AM63" s="2577"/>
      <c r="AN63" s="2577">
        <f t="shared" ref="AN63:AR65" si="63">AN67+AN71</f>
        <v>0</v>
      </c>
      <c r="AO63" s="2577">
        <f t="shared" si="63"/>
        <v>0</v>
      </c>
      <c r="AP63" s="2577">
        <f t="shared" si="63"/>
        <v>0</v>
      </c>
      <c r="AQ63" s="2577">
        <f t="shared" si="63"/>
        <v>0</v>
      </c>
      <c r="AR63" s="2577">
        <f t="shared" si="63"/>
        <v>0</v>
      </c>
      <c r="AS63" s="2592"/>
      <c r="AT63" s="2582"/>
      <c r="AU63" s="2582"/>
      <c r="AV63" s="2582"/>
      <c r="AW63" s="2582"/>
      <c r="AX63" s="2582"/>
      <c r="AY63" s="2582"/>
      <c r="AZ63" s="2582"/>
      <c r="BA63" s="2582"/>
      <c r="BB63" s="2582"/>
      <c r="BC63" s="2582"/>
      <c r="BD63" s="2582"/>
      <c r="BE63" s="2582"/>
      <c r="BF63" s="2582"/>
      <c r="BG63" s="2582"/>
      <c r="BH63" s="2582"/>
      <c r="BI63" s="2582"/>
      <c r="BJ63" s="2582"/>
      <c r="BK63" s="2582"/>
      <c r="BL63" s="2582"/>
      <c r="BM63" s="2582"/>
      <c r="BN63" s="2582"/>
      <c r="BO63" s="2582"/>
      <c r="BP63" s="2582"/>
    </row>
    <row r="64" spans="1:68" s="2583" customFormat="1" ht="15" x14ac:dyDescent="0.25">
      <c r="A64" s="2574" t="s">
        <v>23</v>
      </c>
      <c r="B64" s="2575" t="s">
        <v>1119</v>
      </c>
      <c r="C64" s="2576">
        <f t="shared" ref="C64" si="64">J64+K64</f>
        <v>1650.2</v>
      </c>
      <c r="D64" s="2577"/>
      <c r="E64" s="2577"/>
      <c r="F64" s="2577"/>
      <c r="G64" s="2577"/>
      <c r="H64" s="2577"/>
      <c r="I64" s="2577"/>
      <c r="J64" s="2577">
        <f t="shared" si="58"/>
        <v>0</v>
      </c>
      <c r="K64" s="2577">
        <f t="shared" si="58"/>
        <v>1650.2</v>
      </c>
      <c r="L64" s="2577">
        <f t="shared" ref="L64:L65" si="65">M64+P64</f>
        <v>3000</v>
      </c>
      <c r="M64" s="2577">
        <f t="shared" ref="M64:M65" si="66">N64+O64</f>
        <v>3000</v>
      </c>
      <c r="N64" s="2577">
        <f t="shared" si="59"/>
        <v>0</v>
      </c>
      <c r="O64" s="2577">
        <f t="shared" si="59"/>
        <v>3000</v>
      </c>
      <c r="P64" s="2588">
        <f t="shared" ref="P64:P65" si="67">W64+X64</f>
        <v>0</v>
      </c>
      <c r="Q64" s="2578">
        <f t="shared" si="60"/>
        <v>0</v>
      </c>
      <c r="R64" s="2578">
        <f t="shared" si="60"/>
        <v>0</v>
      </c>
      <c r="S64" s="2577">
        <f t="shared" si="60"/>
        <v>3651.52</v>
      </c>
      <c r="T64" s="2578"/>
      <c r="U64" s="2578"/>
      <c r="V64" s="2578"/>
      <c r="W64" s="2578"/>
      <c r="X64" s="2578"/>
      <c r="Y64" s="2578"/>
      <c r="Z64" s="2577">
        <f t="shared" si="61"/>
        <v>0</v>
      </c>
      <c r="AA64" s="2577">
        <f t="shared" si="61"/>
        <v>1650.2</v>
      </c>
      <c r="AB64" s="2577">
        <f t="shared" si="61"/>
        <v>0</v>
      </c>
      <c r="AC64" s="2577">
        <f>AC68+AC72</f>
        <v>2001.32</v>
      </c>
      <c r="AD64" s="2577"/>
      <c r="AE64" s="2577">
        <f t="shared" si="62"/>
        <v>0</v>
      </c>
      <c r="AF64" s="2577">
        <f t="shared" si="62"/>
        <v>0</v>
      </c>
      <c r="AG64" s="2577"/>
      <c r="AH64" s="2577"/>
      <c r="AI64" s="2577"/>
      <c r="AJ64" s="2577"/>
      <c r="AK64" s="2577"/>
      <c r="AL64" s="2577"/>
      <c r="AM64" s="2577"/>
      <c r="AN64" s="2577">
        <f t="shared" si="63"/>
        <v>0</v>
      </c>
      <c r="AO64" s="2577">
        <f t="shared" si="63"/>
        <v>0</v>
      </c>
      <c r="AP64" s="2577">
        <f t="shared" si="63"/>
        <v>0</v>
      </c>
      <c r="AQ64" s="2577">
        <f t="shared" si="63"/>
        <v>0</v>
      </c>
      <c r="AR64" s="2577">
        <f t="shared" si="63"/>
        <v>998.67999999999984</v>
      </c>
      <c r="AS64" s="2592"/>
      <c r="AT64" s="2582"/>
      <c r="AU64" s="2582"/>
      <c r="AV64" s="2582"/>
      <c r="AW64" s="2582"/>
      <c r="AX64" s="2582"/>
      <c r="AY64" s="2582"/>
      <c r="AZ64" s="2582"/>
      <c r="BA64" s="2582"/>
      <c r="BB64" s="2582"/>
      <c r="BC64" s="2582"/>
      <c r="BD64" s="2582"/>
      <c r="BE64" s="2582"/>
      <c r="BF64" s="2582"/>
      <c r="BG64" s="2582"/>
      <c r="BH64" s="2582"/>
      <c r="BI64" s="2582"/>
      <c r="BJ64" s="2582"/>
      <c r="BK64" s="2582"/>
      <c r="BL64" s="2582"/>
      <c r="BM64" s="2582"/>
      <c r="BN64" s="2582"/>
      <c r="BO64" s="2582"/>
      <c r="BP64" s="2582"/>
    </row>
    <row r="65" spans="1:68" s="2583" customFormat="1" ht="15" x14ac:dyDescent="0.25">
      <c r="A65" s="2574" t="s">
        <v>23</v>
      </c>
      <c r="B65" s="2575" t="s">
        <v>502</v>
      </c>
      <c r="C65" s="2576">
        <f>J65+K65</f>
        <v>0</v>
      </c>
      <c r="D65" s="2577"/>
      <c r="E65" s="2577"/>
      <c r="F65" s="2577"/>
      <c r="G65" s="2577"/>
      <c r="H65" s="2577"/>
      <c r="I65" s="2577"/>
      <c r="J65" s="2577">
        <f t="shared" si="58"/>
        <v>0</v>
      </c>
      <c r="K65" s="2577">
        <f t="shared" si="58"/>
        <v>0</v>
      </c>
      <c r="L65" s="2577">
        <f t="shared" si="65"/>
        <v>0</v>
      </c>
      <c r="M65" s="2577">
        <f t="shared" si="66"/>
        <v>0</v>
      </c>
      <c r="N65" s="2577">
        <f t="shared" si="59"/>
        <v>0</v>
      </c>
      <c r="O65" s="2577">
        <f t="shared" si="59"/>
        <v>0</v>
      </c>
      <c r="P65" s="2588">
        <f t="shared" si="67"/>
        <v>0</v>
      </c>
      <c r="Q65" s="2578">
        <f t="shared" si="60"/>
        <v>0</v>
      </c>
      <c r="R65" s="2578">
        <f t="shared" si="60"/>
        <v>0</v>
      </c>
      <c r="S65" s="2577">
        <f t="shared" si="60"/>
        <v>0</v>
      </c>
      <c r="T65" s="2578"/>
      <c r="U65" s="2578"/>
      <c r="V65" s="2578"/>
      <c r="W65" s="2578"/>
      <c r="X65" s="2578"/>
      <c r="Y65" s="2578"/>
      <c r="Z65" s="2577">
        <f t="shared" si="61"/>
        <v>0</v>
      </c>
      <c r="AA65" s="2577">
        <f t="shared" si="61"/>
        <v>0</v>
      </c>
      <c r="AB65" s="2577">
        <f t="shared" si="61"/>
        <v>0</v>
      </c>
      <c r="AC65" s="2577">
        <f t="shared" si="61"/>
        <v>0</v>
      </c>
      <c r="AD65" s="2577"/>
      <c r="AE65" s="2577">
        <f t="shared" si="62"/>
        <v>0</v>
      </c>
      <c r="AF65" s="2577">
        <f t="shared" si="62"/>
        <v>0</v>
      </c>
      <c r="AG65" s="2577"/>
      <c r="AH65" s="2577"/>
      <c r="AI65" s="2577"/>
      <c r="AJ65" s="2577"/>
      <c r="AK65" s="2577"/>
      <c r="AL65" s="2577"/>
      <c r="AM65" s="2577"/>
      <c r="AN65" s="2577">
        <f t="shared" si="63"/>
        <v>0</v>
      </c>
      <c r="AO65" s="2577">
        <f t="shared" si="63"/>
        <v>0</v>
      </c>
      <c r="AP65" s="2577">
        <f t="shared" si="63"/>
        <v>0</v>
      </c>
      <c r="AQ65" s="2577">
        <f t="shared" si="63"/>
        <v>0</v>
      </c>
      <c r="AR65" s="2577">
        <f t="shared" si="63"/>
        <v>0</v>
      </c>
      <c r="AS65" s="2592"/>
      <c r="AT65" s="2582"/>
      <c r="AU65" s="2582"/>
      <c r="AV65" s="2582"/>
      <c r="AW65" s="2582"/>
      <c r="AX65" s="2582"/>
      <c r="AY65" s="2582"/>
      <c r="AZ65" s="2582"/>
      <c r="BA65" s="2582"/>
      <c r="BB65" s="2582"/>
      <c r="BC65" s="2582"/>
      <c r="BD65" s="2582"/>
      <c r="BE65" s="2582"/>
      <c r="BF65" s="2582"/>
      <c r="BG65" s="2582"/>
      <c r="BH65" s="2582"/>
      <c r="BI65" s="2582"/>
      <c r="BJ65" s="2582"/>
      <c r="BK65" s="2582"/>
      <c r="BL65" s="2582"/>
      <c r="BM65" s="2582"/>
      <c r="BN65" s="2582"/>
      <c r="BO65" s="2582"/>
      <c r="BP65" s="2582"/>
    </row>
    <row r="66" spans="1:68" s="2583" customFormat="1" ht="30" x14ac:dyDescent="0.25">
      <c r="A66" s="2599" t="s">
        <v>605</v>
      </c>
      <c r="B66" s="2600" t="s">
        <v>2098</v>
      </c>
      <c r="C66" s="2601">
        <f>SUM(C67:C69)</f>
        <v>1650.2</v>
      </c>
      <c r="D66" s="2602"/>
      <c r="E66" s="2602"/>
      <c r="F66" s="2602"/>
      <c r="G66" s="2602"/>
      <c r="H66" s="2602"/>
      <c r="I66" s="2602"/>
      <c r="J66" s="2602"/>
      <c r="K66" s="2601">
        <f>SUM(K67:K69)</f>
        <v>1650.2</v>
      </c>
      <c r="L66" s="2601">
        <f>SUM(L67:L69)</f>
        <v>15400</v>
      </c>
      <c r="M66" s="2601">
        <f>SUM(M67:M69)</f>
        <v>15400</v>
      </c>
      <c r="N66" s="2602"/>
      <c r="O66" s="2601">
        <f>SUM(O67:O69)</f>
        <v>15400</v>
      </c>
      <c r="P66" s="2603">
        <f>SUM(P67:P69)</f>
        <v>0</v>
      </c>
      <c r="Q66" s="2604"/>
      <c r="R66" s="2604"/>
      <c r="S66" s="2601">
        <f>S67+S68</f>
        <v>16051.52</v>
      </c>
      <c r="T66" s="2604"/>
      <c r="U66" s="2604"/>
      <c r="V66" s="2604"/>
      <c r="W66" s="2604"/>
      <c r="X66" s="2604"/>
      <c r="Y66" s="2604"/>
      <c r="Z66" s="2602"/>
      <c r="AA66" s="2601">
        <f>AA67+AA68</f>
        <v>1650.2</v>
      </c>
      <c r="AB66" s="2602"/>
      <c r="AC66" s="2601">
        <f>AC67+AC68</f>
        <v>14401.32</v>
      </c>
      <c r="AD66" s="2602"/>
      <c r="AE66" s="2602"/>
      <c r="AF66" s="2601">
        <f>AF67+AF68</f>
        <v>0</v>
      </c>
      <c r="AG66" s="2602"/>
      <c r="AH66" s="2602"/>
      <c r="AI66" s="2602"/>
      <c r="AJ66" s="2602"/>
      <c r="AK66" s="2602"/>
      <c r="AL66" s="2602"/>
      <c r="AM66" s="2602"/>
      <c r="AN66" s="2602"/>
      <c r="AO66" s="2601">
        <f>AO67+AO68</f>
        <v>0</v>
      </c>
      <c r="AP66" s="2602"/>
      <c r="AQ66" s="2601">
        <f>AQ67+AQ68</f>
        <v>0</v>
      </c>
      <c r="AR66" s="2601">
        <f>AR67+AR68</f>
        <v>998.67999999999984</v>
      </c>
      <c r="AS66" s="2592"/>
      <c r="AT66" s="2582"/>
      <c r="AU66" s="2582"/>
      <c r="AV66" s="2582"/>
      <c r="AW66" s="2582"/>
      <c r="AX66" s="2582"/>
      <c r="AY66" s="2582"/>
      <c r="AZ66" s="2582"/>
      <c r="BA66" s="2582"/>
      <c r="BB66" s="2582"/>
      <c r="BC66" s="2582"/>
      <c r="BD66" s="2582"/>
      <c r="BE66" s="2582"/>
      <c r="BF66" s="2582"/>
      <c r="BG66" s="2582"/>
      <c r="BH66" s="2582"/>
      <c r="BI66" s="2582"/>
      <c r="BJ66" s="2582"/>
      <c r="BK66" s="2582"/>
      <c r="BL66" s="2582"/>
      <c r="BM66" s="2582"/>
      <c r="BN66" s="2582"/>
      <c r="BO66" s="2582"/>
      <c r="BP66" s="2582"/>
    </row>
    <row r="67" spans="1:68" s="2583" customFormat="1" ht="15" x14ac:dyDescent="0.25">
      <c r="A67" s="2574" t="s">
        <v>23</v>
      </c>
      <c r="B67" s="2575" t="s">
        <v>1118</v>
      </c>
      <c r="C67" s="2576">
        <f>J67+K67</f>
        <v>0</v>
      </c>
      <c r="D67" s="2577"/>
      <c r="E67" s="2577"/>
      <c r="F67" s="2577"/>
      <c r="G67" s="2577"/>
      <c r="H67" s="2577"/>
      <c r="I67" s="2577"/>
      <c r="J67" s="2577"/>
      <c r="K67" s="2577"/>
      <c r="L67" s="2577">
        <f>M67+P67</f>
        <v>14000</v>
      </c>
      <c r="M67" s="2577">
        <f>N67+O67</f>
        <v>14000</v>
      </c>
      <c r="N67" s="2577"/>
      <c r="O67" s="2577">
        <v>14000</v>
      </c>
      <c r="P67" s="2588">
        <f>W67+X67</f>
        <v>0</v>
      </c>
      <c r="Q67" s="2578"/>
      <c r="R67" s="2578"/>
      <c r="S67" s="2577">
        <f>SUM(Z67:AC67)</f>
        <v>14000</v>
      </c>
      <c r="T67" s="2578"/>
      <c r="U67" s="2578"/>
      <c r="V67" s="2578"/>
      <c r="W67" s="2578"/>
      <c r="X67" s="2578"/>
      <c r="Y67" s="2578"/>
      <c r="Z67" s="2577"/>
      <c r="AA67" s="2577"/>
      <c r="AB67" s="2577"/>
      <c r="AC67" s="2577">
        <v>14000</v>
      </c>
      <c r="AD67" s="2577"/>
      <c r="AE67" s="2577"/>
      <c r="AF67" s="2577"/>
      <c r="AG67" s="2577"/>
      <c r="AH67" s="2577"/>
      <c r="AI67" s="2577"/>
      <c r="AJ67" s="2577"/>
      <c r="AK67" s="2577"/>
      <c r="AL67" s="2577"/>
      <c r="AM67" s="2577"/>
      <c r="AN67" s="2577"/>
      <c r="AO67" s="2577"/>
      <c r="AP67" s="2577"/>
      <c r="AQ67" s="2577"/>
      <c r="AR67" s="2577">
        <f>M67-S67</f>
        <v>0</v>
      </c>
      <c r="AS67" s="2592"/>
      <c r="AT67" s="2582"/>
      <c r="AU67" s="2582"/>
      <c r="AV67" s="2582"/>
      <c r="AW67" s="2582"/>
      <c r="AX67" s="2582"/>
      <c r="AY67" s="2582"/>
      <c r="AZ67" s="2582"/>
      <c r="BA67" s="2582"/>
      <c r="BB67" s="2582"/>
      <c r="BC67" s="2582"/>
      <c r="BD67" s="2582"/>
      <c r="BE67" s="2582"/>
      <c r="BF67" s="2582"/>
      <c r="BG67" s="2582"/>
      <c r="BH67" s="2582"/>
      <c r="BI67" s="2582"/>
      <c r="BJ67" s="2582"/>
      <c r="BK67" s="2582"/>
      <c r="BL67" s="2582"/>
      <c r="BM67" s="2582"/>
      <c r="BN67" s="2582"/>
      <c r="BO67" s="2582"/>
      <c r="BP67" s="2582"/>
    </row>
    <row r="68" spans="1:68" s="2583" customFormat="1" ht="15" x14ac:dyDescent="0.25">
      <c r="A68" s="2574" t="s">
        <v>23</v>
      </c>
      <c r="B68" s="2575" t="s">
        <v>1119</v>
      </c>
      <c r="C68" s="2576">
        <f t="shared" ref="C68:C69" si="68">J68+K68</f>
        <v>1650.2</v>
      </c>
      <c r="D68" s="2577"/>
      <c r="E68" s="2577"/>
      <c r="F68" s="2577"/>
      <c r="G68" s="2577"/>
      <c r="H68" s="2577"/>
      <c r="I68" s="2577"/>
      <c r="J68" s="2577"/>
      <c r="K68" s="2577">
        <v>1650.2</v>
      </c>
      <c r="L68" s="2577">
        <f t="shared" ref="L68:L69" si="69">M68+P68</f>
        <v>1400</v>
      </c>
      <c r="M68" s="2577">
        <f t="shared" ref="M68:M69" si="70">N68+O68</f>
        <v>1400</v>
      </c>
      <c r="N68" s="2577"/>
      <c r="O68" s="2577">
        <v>1400</v>
      </c>
      <c r="P68" s="2588">
        <f t="shared" ref="P68:P69" si="71">W68+X68</f>
        <v>0</v>
      </c>
      <c r="Q68" s="2578"/>
      <c r="R68" s="2578"/>
      <c r="S68" s="2577">
        <f>SUM(Z68:AC68)</f>
        <v>2051.52</v>
      </c>
      <c r="T68" s="2578"/>
      <c r="U68" s="2578"/>
      <c r="V68" s="2578"/>
      <c r="W68" s="2578"/>
      <c r="X68" s="2578"/>
      <c r="Y68" s="2578"/>
      <c r="Z68" s="2577"/>
      <c r="AA68" s="2577">
        <v>1650.2</v>
      </c>
      <c r="AB68" s="2577"/>
      <c r="AC68" s="2577">
        <v>401.32</v>
      </c>
      <c r="AD68" s="2577"/>
      <c r="AE68" s="2577"/>
      <c r="AF68" s="2577"/>
      <c r="AG68" s="2577"/>
      <c r="AH68" s="2577"/>
      <c r="AI68" s="2577"/>
      <c r="AJ68" s="2577"/>
      <c r="AK68" s="2577"/>
      <c r="AL68" s="2577"/>
      <c r="AM68" s="2577"/>
      <c r="AN68" s="2577"/>
      <c r="AO68" s="2577"/>
      <c r="AP68" s="2577"/>
      <c r="AQ68" s="2577"/>
      <c r="AR68" s="2577">
        <f>C68+L68-S68</f>
        <v>998.67999999999984</v>
      </c>
      <c r="AS68" s="2592"/>
      <c r="AT68" s="2582"/>
      <c r="AU68" s="2582"/>
      <c r="AV68" s="2582"/>
      <c r="AW68" s="2582"/>
      <c r="AX68" s="2582"/>
      <c r="AY68" s="2582"/>
      <c r="AZ68" s="2582"/>
      <c r="BA68" s="2582"/>
      <c r="BB68" s="2582"/>
      <c r="BC68" s="2582"/>
      <c r="BD68" s="2582"/>
      <c r="BE68" s="2582"/>
      <c r="BF68" s="2582"/>
      <c r="BG68" s="2582"/>
      <c r="BH68" s="2582"/>
      <c r="BI68" s="2582"/>
      <c r="BJ68" s="2582"/>
      <c r="BK68" s="2582"/>
      <c r="BL68" s="2582"/>
      <c r="BM68" s="2582"/>
      <c r="BN68" s="2582"/>
      <c r="BO68" s="2582"/>
      <c r="BP68" s="2582"/>
    </row>
    <row r="69" spans="1:68" s="2583" customFormat="1" ht="15" x14ac:dyDescent="0.25">
      <c r="A69" s="2574" t="s">
        <v>23</v>
      </c>
      <c r="B69" s="2575" t="s">
        <v>502</v>
      </c>
      <c r="C69" s="2576">
        <f t="shared" si="68"/>
        <v>0</v>
      </c>
      <c r="D69" s="2577"/>
      <c r="E69" s="2577"/>
      <c r="F69" s="2577"/>
      <c r="G69" s="2577"/>
      <c r="H69" s="2577"/>
      <c r="I69" s="2577"/>
      <c r="J69" s="2577"/>
      <c r="K69" s="2577"/>
      <c r="L69" s="2577">
        <f t="shared" si="69"/>
        <v>0</v>
      </c>
      <c r="M69" s="2577">
        <f t="shared" si="70"/>
        <v>0</v>
      </c>
      <c r="N69" s="2577"/>
      <c r="O69" s="2577"/>
      <c r="P69" s="2588">
        <f t="shared" si="71"/>
        <v>0</v>
      </c>
      <c r="Q69" s="2578"/>
      <c r="R69" s="2578"/>
      <c r="S69" s="2577"/>
      <c r="T69" s="2578"/>
      <c r="U69" s="2578"/>
      <c r="V69" s="2578"/>
      <c r="W69" s="2578"/>
      <c r="X69" s="2578"/>
      <c r="Y69" s="2578"/>
      <c r="Z69" s="2577"/>
      <c r="AA69" s="2577"/>
      <c r="AB69" s="2577"/>
      <c r="AC69" s="2577"/>
      <c r="AD69" s="2577"/>
      <c r="AE69" s="2577"/>
      <c r="AF69" s="2577"/>
      <c r="AG69" s="2577"/>
      <c r="AH69" s="2577"/>
      <c r="AI69" s="2577"/>
      <c r="AJ69" s="2577"/>
      <c r="AK69" s="2577"/>
      <c r="AL69" s="2577"/>
      <c r="AM69" s="2577"/>
      <c r="AN69" s="2577"/>
      <c r="AO69" s="2577"/>
      <c r="AP69" s="2577"/>
      <c r="AQ69" s="2577"/>
      <c r="AR69" s="2577"/>
      <c r="AS69" s="2592"/>
      <c r="AT69" s="2582"/>
      <c r="AU69" s="2582"/>
      <c r="AV69" s="2582"/>
      <c r="AW69" s="2582"/>
      <c r="AX69" s="2582"/>
      <c r="AY69" s="2582"/>
      <c r="AZ69" s="2582"/>
      <c r="BA69" s="2582"/>
      <c r="BB69" s="2582"/>
      <c r="BC69" s="2582"/>
      <c r="BD69" s="2582"/>
      <c r="BE69" s="2582"/>
      <c r="BF69" s="2582"/>
      <c r="BG69" s="2582"/>
      <c r="BH69" s="2582"/>
      <c r="BI69" s="2582"/>
      <c r="BJ69" s="2582"/>
      <c r="BK69" s="2582"/>
      <c r="BL69" s="2582"/>
      <c r="BM69" s="2582"/>
      <c r="BN69" s="2582"/>
      <c r="BO69" s="2582"/>
      <c r="BP69" s="2582"/>
    </row>
    <row r="70" spans="1:68" s="2583" customFormat="1" ht="30" x14ac:dyDescent="0.25">
      <c r="A70" s="2599" t="s">
        <v>606</v>
      </c>
      <c r="B70" s="2600" t="s">
        <v>2099</v>
      </c>
      <c r="C70" s="2601">
        <f>SUM(C71:C73)</f>
        <v>0</v>
      </c>
      <c r="D70" s="2602"/>
      <c r="E70" s="2602"/>
      <c r="F70" s="2602"/>
      <c r="G70" s="2602"/>
      <c r="H70" s="2602"/>
      <c r="I70" s="2602"/>
      <c r="J70" s="2602"/>
      <c r="K70" s="2602"/>
      <c r="L70" s="2601">
        <f>SUM(L71:L73)</f>
        <v>51600</v>
      </c>
      <c r="M70" s="2601">
        <f>SUM(M71:M73)</f>
        <v>51600</v>
      </c>
      <c r="N70" s="2602"/>
      <c r="O70" s="2601">
        <f>SUM(O71:O73)</f>
        <v>51600</v>
      </c>
      <c r="P70" s="2603">
        <f>SUM(P71:P73)</f>
        <v>0</v>
      </c>
      <c r="Q70" s="2604"/>
      <c r="R70" s="2604"/>
      <c r="S70" s="2601">
        <f>S71+S72</f>
        <v>51600</v>
      </c>
      <c r="T70" s="2604"/>
      <c r="U70" s="2604"/>
      <c r="V70" s="2604"/>
      <c r="W70" s="2604"/>
      <c r="X70" s="2604"/>
      <c r="Y70" s="2604"/>
      <c r="Z70" s="2602"/>
      <c r="AA70" s="2601">
        <f>AA71+AA72</f>
        <v>0</v>
      </c>
      <c r="AB70" s="2602"/>
      <c r="AC70" s="2601">
        <f>AC71+AC72</f>
        <v>51600</v>
      </c>
      <c r="AD70" s="2602"/>
      <c r="AE70" s="2602"/>
      <c r="AF70" s="2601">
        <f>AF71+AF72</f>
        <v>0</v>
      </c>
      <c r="AG70" s="2602"/>
      <c r="AH70" s="2602"/>
      <c r="AI70" s="2602"/>
      <c r="AJ70" s="2602"/>
      <c r="AK70" s="2602"/>
      <c r="AL70" s="2602"/>
      <c r="AM70" s="2602"/>
      <c r="AN70" s="2602"/>
      <c r="AO70" s="2601">
        <f>AO71+AO72</f>
        <v>0</v>
      </c>
      <c r="AP70" s="2602"/>
      <c r="AQ70" s="2601">
        <f>AQ71+AQ72</f>
        <v>0</v>
      </c>
      <c r="AR70" s="2602"/>
      <c r="AS70" s="2602"/>
      <c r="AT70" s="2582"/>
      <c r="AU70" s="2582"/>
      <c r="AV70" s="2582"/>
      <c r="AW70" s="2582"/>
      <c r="AX70" s="2582"/>
      <c r="AY70" s="2582"/>
      <c r="AZ70" s="2582"/>
      <c r="BA70" s="2582"/>
      <c r="BB70" s="2582"/>
      <c r="BC70" s="2582"/>
      <c r="BD70" s="2582"/>
      <c r="BE70" s="2582"/>
      <c r="BF70" s="2582"/>
      <c r="BG70" s="2582"/>
      <c r="BH70" s="2582"/>
      <c r="BI70" s="2582"/>
      <c r="BJ70" s="2582"/>
      <c r="BK70" s="2582"/>
      <c r="BL70" s="2582"/>
      <c r="BM70" s="2582"/>
      <c r="BN70" s="2582"/>
      <c r="BO70" s="2582"/>
      <c r="BP70" s="2582"/>
    </row>
    <row r="71" spans="1:68" s="2583" customFormat="1" ht="15" x14ac:dyDescent="0.25">
      <c r="A71" s="2574" t="s">
        <v>23</v>
      </c>
      <c r="B71" s="2575" t="s">
        <v>1118</v>
      </c>
      <c r="C71" s="2576">
        <f>J71+K71</f>
        <v>0</v>
      </c>
      <c r="D71" s="2577"/>
      <c r="E71" s="2577"/>
      <c r="F71" s="2577"/>
      <c r="G71" s="2577"/>
      <c r="H71" s="2577"/>
      <c r="I71" s="2577"/>
      <c r="J71" s="2577"/>
      <c r="K71" s="2577"/>
      <c r="L71" s="2577">
        <f>M71+P71</f>
        <v>50000</v>
      </c>
      <c r="M71" s="2577">
        <f>N71+O71</f>
        <v>50000</v>
      </c>
      <c r="N71" s="2577"/>
      <c r="O71" s="2577">
        <v>50000</v>
      </c>
      <c r="P71" s="2588">
        <f>W71+X71</f>
        <v>0</v>
      </c>
      <c r="Q71" s="2578"/>
      <c r="R71" s="2578"/>
      <c r="S71" s="2577">
        <f>SUM(Z71:AC71)</f>
        <v>50000</v>
      </c>
      <c r="T71" s="2578"/>
      <c r="U71" s="2578"/>
      <c r="V71" s="2578"/>
      <c r="W71" s="2578"/>
      <c r="X71" s="2578"/>
      <c r="Y71" s="2578"/>
      <c r="Z71" s="2577"/>
      <c r="AA71" s="2577"/>
      <c r="AB71" s="2577"/>
      <c r="AC71" s="2577">
        <v>50000</v>
      </c>
      <c r="AD71" s="2577"/>
      <c r="AE71" s="2577"/>
      <c r="AF71" s="2577"/>
      <c r="AG71" s="2577"/>
      <c r="AH71" s="2577"/>
      <c r="AI71" s="2577"/>
      <c r="AJ71" s="2577"/>
      <c r="AK71" s="2577"/>
      <c r="AL71" s="2577"/>
      <c r="AM71" s="2577"/>
      <c r="AN71" s="2577"/>
      <c r="AO71" s="2577"/>
      <c r="AP71" s="2577"/>
      <c r="AQ71" s="2577"/>
      <c r="AR71" s="2577"/>
      <c r="AS71" s="2592"/>
      <c r="AT71" s="2582"/>
      <c r="AU71" s="2582"/>
      <c r="AV71" s="2582"/>
      <c r="AW71" s="2582"/>
      <c r="AX71" s="2582"/>
      <c r="AY71" s="2582"/>
      <c r="AZ71" s="2582"/>
      <c r="BA71" s="2582"/>
      <c r="BB71" s="2582"/>
      <c r="BC71" s="2582"/>
      <c r="BD71" s="2582"/>
      <c r="BE71" s="2582"/>
      <c r="BF71" s="2582"/>
      <c r="BG71" s="2582"/>
      <c r="BH71" s="2582"/>
      <c r="BI71" s="2582"/>
      <c r="BJ71" s="2582"/>
      <c r="BK71" s="2582"/>
      <c r="BL71" s="2582"/>
      <c r="BM71" s="2582"/>
      <c r="BN71" s="2582"/>
      <c r="BO71" s="2582"/>
      <c r="BP71" s="2582"/>
    </row>
    <row r="72" spans="1:68" s="2583" customFormat="1" ht="15" x14ac:dyDescent="0.25">
      <c r="A72" s="2574" t="s">
        <v>23</v>
      </c>
      <c r="B72" s="2575" t="s">
        <v>1119</v>
      </c>
      <c r="C72" s="2576">
        <f t="shared" ref="C72:C73" si="72">J72+K72</f>
        <v>0</v>
      </c>
      <c r="D72" s="2577"/>
      <c r="E72" s="2577"/>
      <c r="F72" s="2577"/>
      <c r="G72" s="2577"/>
      <c r="H72" s="2577"/>
      <c r="I72" s="2577"/>
      <c r="J72" s="2577"/>
      <c r="K72" s="2577"/>
      <c r="L72" s="2577">
        <f t="shared" ref="L72:L73" si="73">M72+P72</f>
        <v>1600</v>
      </c>
      <c r="M72" s="2577">
        <f t="shared" ref="M72:M73" si="74">N72+O72</f>
        <v>1600</v>
      </c>
      <c r="N72" s="2577"/>
      <c r="O72" s="2577">
        <v>1600</v>
      </c>
      <c r="P72" s="2588">
        <f t="shared" ref="P72:P73" si="75">W72+X72</f>
        <v>0</v>
      </c>
      <c r="Q72" s="2578"/>
      <c r="R72" s="2578"/>
      <c r="S72" s="2577">
        <f>SUM(Z72:AC72)</f>
        <v>1600</v>
      </c>
      <c r="T72" s="2578"/>
      <c r="U72" s="2578"/>
      <c r="V72" s="2578"/>
      <c r="W72" s="2578"/>
      <c r="X72" s="2578"/>
      <c r="Y72" s="2578"/>
      <c r="Z72" s="2577"/>
      <c r="AA72" s="2577"/>
      <c r="AB72" s="2577"/>
      <c r="AC72" s="2577">
        <v>1600</v>
      </c>
      <c r="AD72" s="2577"/>
      <c r="AE72" s="2577"/>
      <c r="AF72" s="2577"/>
      <c r="AG72" s="2577"/>
      <c r="AH72" s="2577"/>
      <c r="AI72" s="2577"/>
      <c r="AJ72" s="2577"/>
      <c r="AK72" s="2577"/>
      <c r="AL72" s="2577"/>
      <c r="AM72" s="2577"/>
      <c r="AN72" s="2577"/>
      <c r="AO72" s="2577"/>
      <c r="AP72" s="2577"/>
      <c r="AQ72" s="2577"/>
      <c r="AR72" s="2577"/>
      <c r="AS72" s="2592"/>
      <c r="AT72" s="2582"/>
      <c r="AU72" s="2582"/>
      <c r="AV72" s="2582"/>
      <c r="AW72" s="2582"/>
      <c r="AX72" s="2582"/>
      <c r="AY72" s="2582"/>
      <c r="AZ72" s="2582"/>
      <c r="BA72" s="2582"/>
      <c r="BB72" s="2582"/>
      <c r="BC72" s="2582"/>
      <c r="BD72" s="2582"/>
      <c r="BE72" s="2582"/>
      <c r="BF72" s="2582"/>
      <c r="BG72" s="2582"/>
      <c r="BH72" s="2582"/>
      <c r="BI72" s="2582"/>
      <c r="BJ72" s="2582"/>
      <c r="BK72" s="2582"/>
      <c r="BL72" s="2582"/>
      <c r="BM72" s="2582"/>
      <c r="BN72" s="2582"/>
      <c r="BO72" s="2582"/>
      <c r="BP72" s="2582"/>
    </row>
    <row r="73" spans="1:68" s="2583" customFormat="1" ht="15" x14ac:dyDescent="0.25">
      <c r="A73" s="2574" t="s">
        <v>23</v>
      </c>
      <c r="B73" s="2575" t="s">
        <v>502</v>
      </c>
      <c r="C73" s="2576">
        <f t="shared" si="72"/>
        <v>0</v>
      </c>
      <c r="D73" s="2577"/>
      <c r="E73" s="2577"/>
      <c r="F73" s="2577"/>
      <c r="G73" s="2577"/>
      <c r="H73" s="2577"/>
      <c r="I73" s="2577"/>
      <c r="J73" s="2577"/>
      <c r="K73" s="2577"/>
      <c r="L73" s="2577">
        <f t="shared" si="73"/>
        <v>0</v>
      </c>
      <c r="M73" s="2577">
        <f t="shared" si="74"/>
        <v>0</v>
      </c>
      <c r="N73" s="2577"/>
      <c r="O73" s="2577"/>
      <c r="P73" s="2588">
        <f t="shared" si="75"/>
        <v>0</v>
      </c>
      <c r="Q73" s="2594"/>
      <c r="R73" s="2594"/>
      <c r="S73" s="2592"/>
      <c r="T73" s="2594"/>
      <c r="U73" s="2594"/>
      <c r="V73" s="2594"/>
      <c r="W73" s="2594"/>
      <c r="X73" s="2594"/>
      <c r="Y73" s="2594"/>
      <c r="Z73" s="2592"/>
      <c r="AA73" s="2592"/>
      <c r="AB73" s="2592"/>
      <c r="AC73" s="2592"/>
      <c r="AD73" s="2592"/>
      <c r="AE73" s="2592"/>
      <c r="AF73" s="2592"/>
      <c r="AG73" s="2592"/>
      <c r="AH73" s="2592"/>
      <c r="AI73" s="2592"/>
      <c r="AJ73" s="2592"/>
      <c r="AK73" s="2592"/>
      <c r="AL73" s="2592"/>
      <c r="AM73" s="2592"/>
      <c r="AN73" s="2592"/>
      <c r="AO73" s="2592"/>
      <c r="AP73" s="2592"/>
      <c r="AQ73" s="2592"/>
      <c r="AR73" s="2592"/>
      <c r="AS73" s="2592"/>
      <c r="AT73" s="2582"/>
      <c r="AU73" s="2582"/>
      <c r="AV73" s="2582"/>
      <c r="AW73" s="2582"/>
      <c r="AX73" s="2582"/>
      <c r="AY73" s="2582"/>
      <c r="AZ73" s="2582"/>
      <c r="BA73" s="2582"/>
      <c r="BB73" s="2582"/>
      <c r="BC73" s="2582"/>
      <c r="BD73" s="2582"/>
      <c r="BE73" s="2582"/>
      <c r="BF73" s="2582"/>
      <c r="BG73" s="2582"/>
      <c r="BH73" s="2582"/>
      <c r="BI73" s="2582"/>
      <c r="BJ73" s="2582"/>
      <c r="BK73" s="2582"/>
      <c r="BL73" s="2582"/>
      <c r="BM73" s="2582"/>
      <c r="BN73" s="2582"/>
      <c r="BO73" s="2582"/>
      <c r="BP73" s="2582"/>
    </row>
    <row r="74" spans="1:68" s="2583" customFormat="1" ht="58.5" customHeight="1" x14ac:dyDescent="0.25">
      <c r="A74" s="2589">
        <v>5</v>
      </c>
      <c r="B74" s="2590" t="s">
        <v>1396</v>
      </c>
      <c r="C74" s="2591">
        <f>SUM(C75:C77)</f>
        <v>0</v>
      </c>
      <c r="D74" s="2591">
        <f t="shared" ref="D74:J74" si="76">SUM(D75:D77)</f>
        <v>0</v>
      </c>
      <c r="E74" s="2591">
        <f t="shared" si="76"/>
        <v>0</v>
      </c>
      <c r="F74" s="2591">
        <f t="shared" si="76"/>
        <v>0</v>
      </c>
      <c r="G74" s="2591">
        <f t="shared" si="76"/>
        <v>0</v>
      </c>
      <c r="H74" s="2591">
        <f t="shared" si="76"/>
        <v>0</v>
      </c>
      <c r="I74" s="2591">
        <f t="shared" si="76"/>
        <v>0</v>
      </c>
      <c r="J74" s="2591">
        <f t="shared" si="76"/>
        <v>0</v>
      </c>
      <c r="K74" s="2591">
        <f>SUM(K75:K77)</f>
        <v>0</v>
      </c>
      <c r="L74" s="2591">
        <f>SUM(L75:L77)</f>
        <v>278000</v>
      </c>
      <c r="M74" s="2591">
        <f>SUM(M75:M77)</f>
        <v>278000</v>
      </c>
      <c r="N74" s="2591">
        <f t="shared" ref="N74:O74" si="77">SUM(N75:N77)</f>
        <v>0</v>
      </c>
      <c r="O74" s="2591">
        <f t="shared" si="77"/>
        <v>278000</v>
      </c>
      <c r="P74" s="2593">
        <f>SUM(P75:P77)</f>
        <v>0</v>
      </c>
      <c r="Q74" s="2593">
        <f t="shared" ref="Q74:AR74" si="78">SUM(Q75:Q77)</f>
        <v>0</v>
      </c>
      <c r="R74" s="2593">
        <f t="shared" si="78"/>
        <v>0</v>
      </c>
      <c r="S74" s="2591">
        <f t="shared" si="78"/>
        <v>208063.3</v>
      </c>
      <c r="T74" s="2593">
        <f t="shared" si="78"/>
        <v>0</v>
      </c>
      <c r="U74" s="2593">
        <f t="shared" si="78"/>
        <v>0</v>
      </c>
      <c r="V74" s="2593">
        <f t="shared" si="78"/>
        <v>0</v>
      </c>
      <c r="W74" s="2593">
        <f t="shared" si="78"/>
        <v>0</v>
      </c>
      <c r="X74" s="2593">
        <f t="shared" si="78"/>
        <v>0</v>
      </c>
      <c r="Y74" s="2593">
        <f t="shared" si="78"/>
        <v>0</v>
      </c>
      <c r="Z74" s="2591">
        <f t="shared" si="78"/>
        <v>0</v>
      </c>
      <c r="AA74" s="2591">
        <f t="shared" si="78"/>
        <v>0</v>
      </c>
      <c r="AB74" s="2591">
        <f t="shared" si="78"/>
        <v>0</v>
      </c>
      <c r="AC74" s="2591">
        <f t="shared" si="78"/>
        <v>208063.3</v>
      </c>
      <c r="AD74" s="2591">
        <f t="shared" si="78"/>
        <v>0</v>
      </c>
      <c r="AE74" s="2591">
        <f t="shared" si="78"/>
        <v>0</v>
      </c>
      <c r="AF74" s="2591">
        <f t="shared" si="78"/>
        <v>69936.7</v>
      </c>
      <c r="AG74" s="2591">
        <f t="shared" si="78"/>
        <v>0</v>
      </c>
      <c r="AH74" s="2591">
        <f t="shared" si="78"/>
        <v>0</v>
      </c>
      <c r="AI74" s="2591">
        <f t="shared" si="78"/>
        <v>0</v>
      </c>
      <c r="AJ74" s="2591">
        <f t="shared" si="78"/>
        <v>0</v>
      </c>
      <c r="AK74" s="2591">
        <f t="shared" si="78"/>
        <v>0</v>
      </c>
      <c r="AL74" s="2591">
        <f t="shared" si="78"/>
        <v>0</v>
      </c>
      <c r="AM74" s="2591">
        <f t="shared" si="78"/>
        <v>0</v>
      </c>
      <c r="AN74" s="2591">
        <f t="shared" si="78"/>
        <v>0</v>
      </c>
      <c r="AO74" s="2591">
        <f t="shared" si="78"/>
        <v>0</v>
      </c>
      <c r="AP74" s="2591">
        <f t="shared" si="78"/>
        <v>0</v>
      </c>
      <c r="AQ74" s="2591">
        <f t="shared" si="78"/>
        <v>0</v>
      </c>
      <c r="AR74" s="2591">
        <f t="shared" si="78"/>
        <v>0</v>
      </c>
      <c r="AS74" s="2592"/>
      <c r="AT74" s="2582"/>
      <c r="AU74" s="2582"/>
      <c r="AV74" s="2582"/>
      <c r="AW74" s="2582"/>
      <c r="AX74" s="2582"/>
      <c r="AY74" s="2582"/>
      <c r="AZ74" s="2582"/>
      <c r="BA74" s="2582"/>
      <c r="BB74" s="2582"/>
      <c r="BC74" s="2582"/>
      <c r="BD74" s="2582"/>
      <c r="BE74" s="2582"/>
      <c r="BF74" s="2582"/>
      <c r="BG74" s="2582"/>
      <c r="BH74" s="2582"/>
      <c r="BI74" s="2582"/>
      <c r="BJ74" s="2582"/>
      <c r="BK74" s="2582"/>
      <c r="BL74" s="2582"/>
      <c r="BM74" s="2582"/>
      <c r="BN74" s="2582"/>
      <c r="BO74" s="2582"/>
      <c r="BP74" s="2582"/>
    </row>
    <row r="75" spans="1:68" s="2583" customFormat="1" ht="15" x14ac:dyDescent="0.25">
      <c r="A75" s="2574" t="s">
        <v>23</v>
      </c>
      <c r="B75" s="2575" t="s">
        <v>1118</v>
      </c>
      <c r="C75" s="2576">
        <f>J75+K75</f>
        <v>0</v>
      </c>
      <c r="D75" s="2577"/>
      <c r="E75" s="2577"/>
      <c r="F75" s="2577"/>
      <c r="G75" s="2577"/>
      <c r="H75" s="2577"/>
      <c r="I75" s="2577"/>
      <c r="J75" s="2577">
        <f t="shared" ref="J75:K77" si="79">J79+J83</f>
        <v>0</v>
      </c>
      <c r="K75" s="2577">
        <f t="shared" si="79"/>
        <v>0</v>
      </c>
      <c r="L75" s="2577">
        <f>M75+P75</f>
        <v>271000</v>
      </c>
      <c r="M75" s="2577">
        <f>N75+O75</f>
        <v>271000</v>
      </c>
      <c r="N75" s="2577">
        <f t="shared" ref="N75:O77" si="80">N79+N83</f>
        <v>0</v>
      </c>
      <c r="O75" s="2577">
        <f t="shared" si="80"/>
        <v>271000</v>
      </c>
      <c r="P75" s="2588">
        <f>W75+X75</f>
        <v>0</v>
      </c>
      <c r="Q75" s="2578">
        <f t="shared" ref="Q75:S77" si="81">Q79+Q83</f>
        <v>0</v>
      </c>
      <c r="R75" s="2578">
        <f t="shared" si="81"/>
        <v>0</v>
      </c>
      <c r="S75" s="2577">
        <f t="shared" si="81"/>
        <v>203063.3</v>
      </c>
      <c r="T75" s="2578"/>
      <c r="U75" s="2578"/>
      <c r="V75" s="2578"/>
      <c r="W75" s="2578"/>
      <c r="X75" s="2578"/>
      <c r="Y75" s="2578"/>
      <c r="Z75" s="2577">
        <f t="shared" ref="Z75:AC77" si="82">Z79+Z83</f>
        <v>0</v>
      </c>
      <c r="AA75" s="2577">
        <f t="shared" si="82"/>
        <v>0</v>
      </c>
      <c r="AB75" s="2577">
        <f t="shared" si="82"/>
        <v>0</v>
      </c>
      <c r="AC75" s="2577">
        <f t="shared" si="82"/>
        <v>203063.3</v>
      </c>
      <c r="AD75" s="2577"/>
      <c r="AE75" s="2577">
        <f t="shared" ref="AE75:AF77" si="83">AE79+AE83</f>
        <v>0</v>
      </c>
      <c r="AF75" s="2577">
        <f t="shared" si="83"/>
        <v>67936.7</v>
      </c>
      <c r="AG75" s="2577"/>
      <c r="AH75" s="2577"/>
      <c r="AI75" s="2577"/>
      <c r="AJ75" s="2577"/>
      <c r="AK75" s="2577"/>
      <c r="AL75" s="2577"/>
      <c r="AM75" s="2577"/>
      <c r="AN75" s="2577">
        <f t="shared" ref="AN75:AR77" si="84">AN79+AN83</f>
        <v>0</v>
      </c>
      <c r="AO75" s="2577">
        <f t="shared" si="84"/>
        <v>0</v>
      </c>
      <c r="AP75" s="2577">
        <f t="shared" si="84"/>
        <v>0</v>
      </c>
      <c r="AQ75" s="2577">
        <f t="shared" si="84"/>
        <v>0</v>
      </c>
      <c r="AR75" s="2577">
        <f t="shared" si="84"/>
        <v>0</v>
      </c>
      <c r="AS75" s="2592"/>
      <c r="AT75" s="2582"/>
      <c r="AU75" s="2582"/>
      <c r="AV75" s="2582"/>
      <c r="AW75" s="2582"/>
      <c r="AX75" s="2582"/>
      <c r="AY75" s="2582"/>
      <c r="AZ75" s="2582"/>
      <c r="BA75" s="2582"/>
      <c r="BB75" s="2582"/>
      <c r="BC75" s="2582"/>
      <c r="BD75" s="2582"/>
      <c r="BE75" s="2582"/>
      <c r="BF75" s="2582"/>
      <c r="BG75" s="2582"/>
      <c r="BH75" s="2582"/>
      <c r="BI75" s="2582"/>
      <c r="BJ75" s="2582"/>
      <c r="BK75" s="2582"/>
      <c r="BL75" s="2582"/>
      <c r="BM75" s="2582"/>
      <c r="BN75" s="2582"/>
      <c r="BO75" s="2582"/>
      <c r="BP75" s="2582"/>
    </row>
    <row r="76" spans="1:68" s="2583" customFormat="1" ht="15" x14ac:dyDescent="0.25">
      <c r="A76" s="2574" t="s">
        <v>23</v>
      </c>
      <c r="B76" s="2575" t="s">
        <v>1119</v>
      </c>
      <c r="C76" s="2576">
        <f t="shared" ref="C76" si="85">J76+K76</f>
        <v>0</v>
      </c>
      <c r="D76" s="2577"/>
      <c r="E76" s="2577"/>
      <c r="F76" s="2577"/>
      <c r="G76" s="2577"/>
      <c r="H76" s="2577"/>
      <c r="I76" s="2577"/>
      <c r="J76" s="2577">
        <f t="shared" si="79"/>
        <v>0</v>
      </c>
      <c r="K76" s="2577">
        <f t="shared" si="79"/>
        <v>0</v>
      </c>
      <c r="L76" s="2577">
        <f>M76+P76</f>
        <v>7000</v>
      </c>
      <c r="M76" s="2577">
        <f t="shared" ref="M76:M77" si="86">N76+O76</f>
        <v>7000</v>
      </c>
      <c r="N76" s="2577">
        <f t="shared" si="80"/>
        <v>0</v>
      </c>
      <c r="O76" s="2577">
        <f t="shared" si="80"/>
        <v>7000</v>
      </c>
      <c r="P76" s="2588">
        <f t="shared" ref="P76:P77" si="87">W76+X76</f>
        <v>0</v>
      </c>
      <c r="Q76" s="2578">
        <f t="shared" si="81"/>
        <v>0</v>
      </c>
      <c r="R76" s="2578">
        <f t="shared" si="81"/>
        <v>0</v>
      </c>
      <c r="S76" s="2577">
        <f t="shared" si="81"/>
        <v>5000</v>
      </c>
      <c r="T76" s="2578"/>
      <c r="U76" s="2578"/>
      <c r="V76" s="2578"/>
      <c r="W76" s="2578"/>
      <c r="X76" s="2578"/>
      <c r="Y76" s="2578"/>
      <c r="Z76" s="2577">
        <f t="shared" si="82"/>
        <v>0</v>
      </c>
      <c r="AA76" s="2577">
        <f t="shared" si="82"/>
        <v>0</v>
      </c>
      <c r="AB76" s="2577">
        <f t="shared" si="82"/>
        <v>0</v>
      </c>
      <c r="AC76" s="2577">
        <f t="shared" si="82"/>
        <v>5000</v>
      </c>
      <c r="AD76" s="2577"/>
      <c r="AE76" s="2577">
        <f t="shared" si="83"/>
        <v>0</v>
      </c>
      <c r="AF76" s="2577">
        <f t="shared" si="83"/>
        <v>2000</v>
      </c>
      <c r="AG76" s="2577"/>
      <c r="AH76" s="2577"/>
      <c r="AI76" s="2577"/>
      <c r="AJ76" s="2577"/>
      <c r="AK76" s="2577"/>
      <c r="AL76" s="2577"/>
      <c r="AM76" s="2577"/>
      <c r="AN76" s="2577">
        <f t="shared" si="84"/>
        <v>0</v>
      </c>
      <c r="AO76" s="2577">
        <f t="shared" si="84"/>
        <v>0</v>
      </c>
      <c r="AP76" s="2577">
        <f t="shared" si="84"/>
        <v>0</v>
      </c>
      <c r="AQ76" s="2577">
        <f t="shared" si="84"/>
        <v>0</v>
      </c>
      <c r="AR76" s="2577">
        <f t="shared" si="84"/>
        <v>0</v>
      </c>
      <c r="AS76" s="2592"/>
      <c r="AT76" s="2582"/>
      <c r="AU76" s="2582"/>
      <c r="AV76" s="2582"/>
      <c r="AW76" s="2582"/>
      <c r="AX76" s="2582"/>
      <c r="AY76" s="2582"/>
      <c r="AZ76" s="2582"/>
      <c r="BA76" s="2582"/>
      <c r="BB76" s="2582"/>
      <c r="BC76" s="2582"/>
      <c r="BD76" s="2582"/>
      <c r="BE76" s="2582"/>
      <c r="BF76" s="2582"/>
      <c r="BG76" s="2582"/>
      <c r="BH76" s="2582"/>
      <c r="BI76" s="2582"/>
      <c r="BJ76" s="2582"/>
      <c r="BK76" s="2582"/>
      <c r="BL76" s="2582"/>
      <c r="BM76" s="2582"/>
      <c r="BN76" s="2582"/>
      <c r="BO76" s="2582"/>
      <c r="BP76" s="2582"/>
    </row>
    <row r="77" spans="1:68" s="2583" customFormat="1" ht="15" x14ac:dyDescent="0.25">
      <c r="A77" s="2574" t="s">
        <v>23</v>
      </c>
      <c r="B77" s="2575" t="s">
        <v>502</v>
      </c>
      <c r="C77" s="2576">
        <f>J77+K77</f>
        <v>0</v>
      </c>
      <c r="D77" s="2577"/>
      <c r="E77" s="2577"/>
      <c r="F77" s="2577"/>
      <c r="G77" s="2577"/>
      <c r="H77" s="2577"/>
      <c r="I77" s="2577"/>
      <c r="J77" s="2577">
        <f t="shared" si="79"/>
        <v>0</v>
      </c>
      <c r="K77" s="2577">
        <f t="shared" si="79"/>
        <v>0</v>
      </c>
      <c r="L77" s="2577">
        <f t="shared" ref="L77" si="88">M77+P77</f>
        <v>0</v>
      </c>
      <c r="M77" s="2577">
        <f t="shared" si="86"/>
        <v>0</v>
      </c>
      <c r="N77" s="2577">
        <f t="shared" si="80"/>
        <v>0</v>
      </c>
      <c r="O77" s="2577">
        <f t="shared" si="80"/>
        <v>0</v>
      </c>
      <c r="P77" s="2588">
        <f t="shared" si="87"/>
        <v>0</v>
      </c>
      <c r="Q77" s="2578">
        <f t="shared" si="81"/>
        <v>0</v>
      </c>
      <c r="R77" s="2578">
        <f t="shared" si="81"/>
        <v>0</v>
      </c>
      <c r="S77" s="2577">
        <f t="shared" si="81"/>
        <v>0</v>
      </c>
      <c r="T77" s="2578"/>
      <c r="U77" s="2578"/>
      <c r="V77" s="2578"/>
      <c r="W77" s="2578"/>
      <c r="X77" s="2578"/>
      <c r="Y77" s="2578"/>
      <c r="Z77" s="2577">
        <f t="shared" si="82"/>
        <v>0</v>
      </c>
      <c r="AA77" s="2577">
        <f t="shared" si="82"/>
        <v>0</v>
      </c>
      <c r="AB77" s="2577">
        <f t="shared" si="82"/>
        <v>0</v>
      </c>
      <c r="AC77" s="2577">
        <f t="shared" si="82"/>
        <v>0</v>
      </c>
      <c r="AD77" s="2577"/>
      <c r="AE77" s="2577">
        <f t="shared" si="83"/>
        <v>0</v>
      </c>
      <c r="AF77" s="2577">
        <f t="shared" si="83"/>
        <v>0</v>
      </c>
      <c r="AG77" s="2577"/>
      <c r="AH77" s="2577"/>
      <c r="AI77" s="2577"/>
      <c r="AJ77" s="2577"/>
      <c r="AK77" s="2577"/>
      <c r="AL77" s="2577"/>
      <c r="AM77" s="2577"/>
      <c r="AN77" s="2577">
        <f t="shared" si="84"/>
        <v>0</v>
      </c>
      <c r="AO77" s="2577">
        <f t="shared" si="84"/>
        <v>0</v>
      </c>
      <c r="AP77" s="2577">
        <f t="shared" si="84"/>
        <v>0</v>
      </c>
      <c r="AQ77" s="2577">
        <f t="shared" si="84"/>
        <v>0</v>
      </c>
      <c r="AR77" s="2577">
        <f t="shared" si="84"/>
        <v>0</v>
      </c>
      <c r="AS77" s="2592"/>
      <c r="AT77" s="2582"/>
      <c r="AU77" s="2582"/>
      <c r="AV77" s="2582"/>
      <c r="AW77" s="2582"/>
      <c r="AX77" s="2582"/>
      <c r="AY77" s="2582"/>
      <c r="AZ77" s="2582"/>
      <c r="BA77" s="2582"/>
      <c r="BB77" s="2582"/>
      <c r="BC77" s="2582"/>
      <c r="BD77" s="2582"/>
      <c r="BE77" s="2582"/>
      <c r="BF77" s="2582"/>
      <c r="BG77" s="2582"/>
      <c r="BH77" s="2582"/>
      <c r="BI77" s="2582"/>
      <c r="BJ77" s="2582"/>
      <c r="BK77" s="2582"/>
      <c r="BL77" s="2582"/>
      <c r="BM77" s="2582"/>
      <c r="BN77" s="2582"/>
      <c r="BO77" s="2582"/>
      <c r="BP77" s="2582"/>
    </row>
    <row r="78" spans="1:68" s="2583" customFormat="1" ht="30" x14ac:dyDescent="0.25">
      <c r="A78" s="2606" t="s">
        <v>1011</v>
      </c>
      <c r="B78" s="2600" t="s">
        <v>2096</v>
      </c>
      <c r="C78" s="2601">
        <f>SUM(C79:C81)</f>
        <v>0</v>
      </c>
      <c r="D78" s="2602"/>
      <c r="E78" s="2602"/>
      <c r="F78" s="2602"/>
      <c r="G78" s="2602"/>
      <c r="H78" s="2602"/>
      <c r="I78" s="2602"/>
      <c r="J78" s="2602"/>
      <c r="K78" s="2602"/>
      <c r="L78" s="2601">
        <f>SUM(L79:L81)</f>
        <v>182000</v>
      </c>
      <c r="M78" s="2601">
        <f>SUM(M79:M81)</f>
        <v>182000</v>
      </c>
      <c r="N78" s="2602"/>
      <c r="O78" s="2601">
        <f>SUM(O79:O81)</f>
        <v>182000</v>
      </c>
      <c r="P78" s="2603">
        <f>SUM(P79:P81)</f>
        <v>0</v>
      </c>
      <c r="Q78" s="2604"/>
      <c r="R78" s="2604"/>
      <c r="S78" s="2601">
        <f>S79+S80</f>
        <v>182000</v>
      </c>
      <c r="T78" s="2604"/>
      <c r="U78" s="2604"/>
      <c r="V78" s="2604"/>
      <c r="W78" s="2604"/>
      <c r="X78" s="2604"/>
      <c r="Y78" s="2604"/>
      <c r="Z78" s="2602"/>
      <c r="AA78" s="2601">
        <f>AA79+AA80</f>
        <v>0</v>
      </c>
      <c r="AB78" s="2602"/>
      <c r="AC78" s="2601">
        <f>AC79+AC80</f>
        <v>182000</v>
      </c>
      <c r="AD78" s="2602"/>
      <c r="AE78" s="2602"/>
      <c r="AF78" s="2601">
        <f>AF79+AF80</f>
        <v>0</v>
      </c>
      <c r="AG78" s="2602"/>
      <c r="AH78" s="2602"/>
      <c r="AI78" s="2602"/>
      <c r="AJ78" s="2602"/>
      <c r="AK78" s="2602"/>
      <c r="AL78" s="2602"/>
      <c r="AM78" s="2602"/>
      <c r="AN78" s="2602"/>
      <c r="AO78" s="2601">
        <f>AO79+AO80</f>
        <v>0</v>
      </c>
      <c r="AP78" s="2602"/>
      <c r="AQ78" s="2601">
        <f>AQ79+AQ80</f>
        <v>0</v>
      </c>
      <c r="AR78" s="2601">
        <f>AR79+AR80</f>
        <v>0</v>
      </c>
      <c r="AS78" s="2602"/>
      <c r="AT78" s="2582"/>
      <c r="AU78" s="2582"/>
      <c r="AV78" s="2582"/>
      <c r="AW78" s="2582"/>
      <c r="AX78" s="2582"/>
      <c r="AY78" s="2582"/>
      <c r="AZ78" s="2582"/>
      <c r="BA78" s="2582"/>
      <c r="BB78" s="2582"/>
      <c r="BC78" s="2582"/>
      <c r="BD78" s="2582"/>
      <c r="BE78" s="2582"/>
      <c r="BF78" s="2582"/>
      <c r="BG78" s="2582"/>
      <c r="BH78" s="2582"/>
      <c r="BI78" s="2582"/>
      <c r="BJ78" s="2582"/>
      <c r="BK78" s="2582"/>
      <c r="BL78" s="2582"/>
      <c r="BM78" s="2582"/>
      <c r="BN78" s="2582"/>
      <c r="BO78" s="2582"/>
      <c r="BP78" s="2582"/>
    </row>
    <row r="79" spans="1:68" s="2583" customFormat="1" ht="15" x14ac:dyDescent="0.25">
      <c r="A79" s="2574" t="s">
        <v>23</v>
      </c>
      <c r="B79" s="2575" t="s">
        <v>1118</v>
      </c>
      <c r="C79" s="2576">
        <f>J79+K79</f>
        <v>0</v>
      </c>
      <c r="D79" s="2577"/>
      <c r="E79" s="2577"/>
      <c r="F79" s="2577"/>
      <c r="G79" s="2577"/>
      <c r="H79" s="2577"/>
      <c r="I79" s="2577"/>
      <c r="J79" s="2577"/>
      <c r="K79" s="2577"/>
      <c r="L79" s="2577">
        <f>M79+P79</f>
        <v>177000</v>
      </c>
      <c r="M79" s="2577">
        <f>N79+O79</f>
        <v>177000</v>
      </c>
      <c r="N79" s="2577"/>
      <c r="O79" s="2577">
        <v>177000</v>
      </c>
      <c r="P79" s="2588">
        <f>W79+X79</f>
        <v>0</v>
      </c>
      <c r="Q79" s="2578"/>
      <c r="R79" s="2578"/>
      <c r="S79" s="2577">
        <f>SUM(Z79:AC79)</f>
        <v>177000</v>
      </c>
      <c r="T79" s="2578"/>
      <c r="U79" s="2578"/>
      <c r="V79" s="2578"/>
      <c r="W79" s="2578"/>
      <c r="X79" s="2578"/>
      <c r="Y79" s="2578"/>
      <c r="Z79" s="2577"/>
      <c r="AA79" s="2577"/>
      <c r="AB79" s="2577"/>
      <c r="AC79" s="2577">
        <v>177000</v>
      </c>
      <c r="AD79" s="2577"/>
      <c r="AE79" s="2577"/>
      <c r="AF79" s="2577"/>
      <c r="AG79" s="2577"/>
      <c r="AH79" s="2577"/>
      <c r="AI79" s="2577"/>
      <c r="AJ79" s="2577"/>
      <c r="AK79" s="2577"/>
      <c r="AL79" s="2577"/>
      <c r="AM79" s="2577"/>
      <c r="AN79" s="2577"/>
      <c r="AO79" s="2577"/>
      <c r="AP79" s="2577"/>
      <c r="AQ79" s="2577">
        <f>AR79+AS79</f>
        <v>0</v>
      </c>
      <c r="AR79" s="2577">
        <f>M79-S79</f>
        <v>0</v>
      </c>
      <c r="AS79" s="2592"/>
      <c r="AT79" s="2582"/>
      <c r="AU79" s="2582"/>
      <c r="AV79" s="2582"/>
      <c r="AW79" s="2582"/>
      <c r="AX79" s="2582"/>
      <c r="AY79" s="2582"/>
      <c r="AZ79" s="2582"/>
      <c r="BA79" s="2582"/>
      <c r="BB79" s="2582"/>
      <c r="BC79" s="2582"/>
      <c r="BD79" s="2582"/>
      <c r="BE79" s="2582"/>
      <c r="BF79" s="2582"/>
      <c r="BG79" s="2582"/>
      <c r="BH79" s="2582"/>
      <c r="BI79" s="2582"/>
      <c r="BJ79" s="2582"/>
      <c r="BK79" s="2582"/>
      <c r="BL79" s="2582"/>
      <c r="BM79" s="2582"/>
      <c r="BN79" s="2582"/>
      <c r="BO79" s="2582"/>
      <c r="BP79" s="2582"/>
    </row>
    <row r="80" spans="1:68" s="2583" customFormat="1" ht="15" x14ac:dyDescent="0.25">
      <c r="A80" s="2574" t="s">
        <v>23</v>
      </c>
      <c r="B80" s="2575" t="s">
        <v>1119</v>
      </c>
      <c r="C80" s="2576">
        <f t="shared" ref="C80:C81" si="89">J80+K80</f>
        <v>0</v>
      </c>
      <c r="D80" s="2577"/>
      <c r="E80" s="2577"/>
      <c r="F80" s="2577"/>
      <c r="G80" s="2577"/>
      <c r="H80" s="2577"/>
      <c r="I80" s="2577"/>
      <c r="J80" s="2577"/>
      <c r="K80" s="2577"/>
      <c r="L80" s="2577">
        <f t="shared" ref="L80:L81" si="90">M80+P80</f>
        <v>5000</v>
      </c>
      <c r="M80" s="2577">
        <f t="shared" ref="M80:M81" si="91">N80+O80</f>
        <v>5000</v>
      </c>
      <c r="N80" s="2577"/>
      <c r="O80" s="2577">
        <v>5000</v>
      </c>
      <c r="P80" s="2588">
        <f t="shared" ref="P80:P81" si="92">W80+X80</f>
        <v>0</v>
      </c>
      <c r="Q80" s="2578"/>
      <c r="R80" s="2578"/>
      <c r="S80" s="2577">
        <f>SUM(Z80:AC80)</f>
        <v>5000</v>
      </c>
      <c r="T80" s="2578"/>
      <c r="U80" s="2578"/>
      <c r="V80" s="2578"/>
      <c r="W80" s="2578"/>
      <c r="X80" s="2578"/>
      <c r="Y80" s="2578"/>
      <c r="Z80" s="2577"/>
      <c r="AA80" s="2577"/>
      <c r="AB80" s="2577"/>
      <c r="AC80" s="2577">
        <v>5000</v>
      </c>
      <c r="AD80" s="2577"/>
      <c r="AE80" s="2577"/>
      <c r="AF80" s="2577"/>
      <c r="AG80" s="2577"/>
      <c r="AH80" s="2577"/>
      <c r="AI80" s="2577"/>
      <c r="AJ80" s="2577"/>
      <c r="AK80" s="2577"/>
      <c r="AL80" s="2577"/>
      <c r="AM80" s="2577"/>
      <c r="AN80" s="2577"/>
      <c r="AO80" s="2577"/>
      <c r="AP80" s="2577"/>
      <c r="AQ80" s="2577">
        <f>AR80+AS80</f>
        <v>0</v>
      </c>
      <c r="AR80" s="2577">
        <f>M80-S80</f>
        <v>0</v>
      </c>
      <c r="AS80" s="2592"/>
      <c r="AT80" s="2582"/>
      <c r="AU80" s="2582"/>
      <c r="AV80" s="2582"/>
      <c r="AW80" s="2582"/>
      <c r="AX80" s="2582"/>
      <c r="AY80" s="2582"/>
      <c r="AZ80" s="2582"/>
      <c r="BA80" s="2582"/>
      <c r="BB80" s="2582"/>
      <c r="BC80" s="2582"/>
      <c r="BD80" s="2582"/>
      <c r="BE80" s="2582"/>
      <c r="BF80" s="2582"/>
      <c r="BG80" s="2582"/>
      <c r="BH80" s="2582"/>
      <c r="BI80" s="2582"/>
      <c r="BJ80" s="2582"/>
      <c r="BK80" s="2582"/>
      <c r="BL80" s="2582"/>
      <c r="BM80" s="2582"/>
      <c r="BN80" s="2582"/>
      <c r="BO80" s="2582"/>
      <c r="BP80" s="2582"/>
    </row>
    <row r="81" spans="1:68" s="2583" customFormat="1" ht="15" x14ac:dyDescent="0.25">
      <c r="A81" s="2574" t="s">
        <v>23</v>
      </c>
      <c r="B81" s="2575" t="s">
        <v>502</v>
      </c>
      <c r="C81" s="2576">
        <f t="shared" si="89"/>
        <v>0</v>
      </c>
      <c r="D81" s="2577"/>
      <c r="E81" s="2577"/>
      <c r="F81" s="2577"/>
      <c r="G81" s="2577"/>
      <c r="H81" s="2577"/>
      <c r="I81" s="2577"/>
      <c r="J81" s="2577"/>
      <c r="K81" s="2577"/>
      <c r="L81" s="2577">
        <f t="shared" si="90"/>
        <v>0</v>
      </c>
      <c r="M81" s="2577">
        <f t="shared" si="91"/>
        <v>0</v>
      </c>
      <c r="N81" s="2577"/>
      <c r="O81" s="2577"/>
      <c r="P81" s="2588">
        <f t="shared" si="92"/>
        <v>0</v>
      </c>
      <c r="Q81" s="2578"/>
      <c r="R81" s="2578"/>
      <c r="S81" s="2577"/>
      <c r="T81" s="2578"/>
      <c r="U81" s="2578"/>
      <c r="V81" s="2578"/>
      <c r="W81" s="2578"/>
      <c r="X81" s="2578"/>
      <c r="Y81" s="2578"/>
      <c r="Z81" s="2577"/>
      <c r="AA81" s="2577"/>
      <c r="AB81" s="2577"/>
      <c r="AC81" s="2577"/>
      <c r="AD81" s="2577"/>
      <c r="AE81" s="2577"/>
      <c r="AF81" s="2577"/>
      <c r="AG81" s="2577"/>
      <c r="AH81" s="2577"/>
      <c r="AI81" s="2577"/>
      <c r="AJ81" s="2577"/>
      <c r="AK81" s="2577"/>
      <c r="AL81" s="2577"/>
      <c r="AM81" s="2577"/>
      <c r="AN81" s="2577"/>
      <c r="AO81" s="2577"/>
      <c r="AP81" s="2577"/>
      <c r="AQ81" s="2577"/>
      <c r="AR81" s="2577"/>
      <c r="AS81" s="2592"/>
      <c r="AT81" s="2582"/>
      <c r="AU81" s="2582"/>
      <c r="AV81" s="2582"/>
      <c r="AW81" s="2582"/>
      <c r="AX81" s="2582"/>
      <c r="AY81" s="2582"/>
      <c r="AZ81" s="2582"/>
      <c r="BA81" s="2582"/>
      <c r="BB81" s="2582"/>
      <c r="BC81" s="2582"/>
      <c r="BD81" s="2582"/>
      <c r="BE81" s="2582"/>
      <c r="BF81" s="2582"/>
      <c r="BG81" s="2582"/>
      <c r="BH81" s="2582"/>
      <c r="BI81" s="2582"/>
      <c r="BJ81" s="2582"/>
      <c r="BK81" s="2582"/>
      <c r="BL81" s="2582"/>
      <c r="BM81" s="2582"/>
      <c r="BN81" s="2582"/>
      <c r="BO81" s="2582"/>
      <c r="BP81" s="2582"/>
    </row>
    <row r="82" spans="1:68" s="2583" customFormat="1" ht="30" x14ac:dyDescent="0.25">
      <c r="A82" s="2599" t="s">
        <v>1013</v>
      </c>
      <c r="B82" s="2600" t="s">
        <v>2097</v>
      </c>
      <c r="C82" s="2601">
        <f>SUM(C83:C85)</f>
        <v>0</v>
      </c>
      <c r="D82" s="2602"/>
      <c r="E82" s="2602"/>
      <c r="F82" s="2602"/>
      <c r="G82" s="2602"/>
      <c r="H82" s="2602"/>
      <c r="I82" s="2602"/>
      <c r="J82" s="2602"/>
      <c r="K82" s="2602"/>
      <c r="L82" s="2601">
        <f>SUM(L83:L85)</f>
        <v>96000</v>
      </c>
      <c r="M82" s="2601">
        <f>SUM(M83:M85)</f>
        <v>96000</v>
      </c>
      <c r="N82" s="2602"/>
      <c r="O82" s="2601">
        <f>SUM(O83:O85)</f>
        <v>96000</v>
      </c>
      <c r="P82" s="2603">
        <f>SUM(P83:P85)</f>
        <v>0</v>
      </c>
      <c r="Q82" s="2604"/>
      <c r="R82" s="2604"/>
      <c r="S82" s="2601">
        <f>S83+S84</f>
        <v>26063.3</v>
      </c>
      <c r="T82" s="2604"/>
      <c r="U82" s="2604"/>
      <c r="V82" s="2604"/>
      <c r="W82" s="2604"/>
      <c r="X82" s="2604"/>
      <c r="Y82" s="2604"/>
      <c r="Z82" s="2602"/>
      <c r="AA82" s="2601">
        <f>AA83+AA84</f>
        <v>0</v>
      </c>
      <c r="AB82" s="2602"/>
      <c r="AC82" s="2601">
        <f>AC83+AC84</f>
        <v>26063.3</v>
      </c>
      <c r="AD82" s="2602"/>
      <c r="AE82" s="2602"/>
      <c r="AF82" s="2601">
        <f>AF83+AF84</f>
        <v>69936.7</v>
      </c>
      <c r="AG82" s="2602"/>
      <c r="AH82" s="2602"/>
      <c r="AI82" s="2602"/>
      <c r="AJ82" s="2602"/>
      <c r="AK82" s="2602"/>
      <c r="AL82" s="2602"/>
      <c r="AM82" s="2602"/>
      <c r="AN82" s="2602"/>
      <c r="AO82" s="2601">
        <f>AO83+AO84</f>
        <v>0</v>
      </c>
      <c r="AP82" s="2602"/>
      <c r="AQ82" s="2601">
        <f>AQ83+AQ84</f>
        <v>0</v>
      </c>
      <c r="AR82" s="2602"/>
      <c r="AS82" s="2592"/>
      <c r="AT82" s="2582"/>
      <c r="AU82" s="2582"/>
      <c r="AV82" s="2582"/>
      <c r="AW82" s="2582"/>
      <c r="AX82" s="2582"/>
      <c r="AY82" s="2582"/>
      <c r="AZ82" s="2582"/>
      <c r="BA82" s="2582"/>
      <c r="BB82" s="2582"/>
      <c r="BC82" s="2582"/>
      <c r="BD82" s="2582"/>
      <c r="BE82" s="2582"/>
      <c r="BF82" s="2582"/>
      <c r="BG82" s="2582"/>
      <c r="BH82" s="2582"/>
      <c r="BI82" s="2582"/>
      <c r="BJ82" s="2582"/>
      <c r="BK82" s="2582"/>
      <c r="BL82" s="2582"/>
      <c r="BM82" s="2582"/>
      <c r="BN82" s="2582"/>
      <c r="BO82" s="2582"/>
      <c r="BP82" s="2582"/>
    </row>
    <row r="83" spans="1:68" s="2583" customFormat="1" ht="15" x14ac:dyDescent="0.25">
      <c r="A83" s="2574" t="s">
        <v>23</v>
      </c>
      <c r="B83" s="2575" t="s">
        <v>1118</v>
      </c>
      <c r="C83" s="2576">
        <f>J83+K83</f>
        <v>0</v>
      </c>
      <c r="D83" s="2577"/>
      <c r="E83" s="2577"/>
      <c r="F83" s="2577"/>
      <c r="G83" s="2577"/>
      <c r="H83" s="2577"/>
      <c r="I83" s="2577"/>
      <c r="J83" s="2577"/>
      <c r="K83" s="2577"/>
      <c r="L83" s="2577">
        <f>M83+P83</f>
        <v>94000</v>
      </c>
      <c r="M83" s="2577">
        <f>N83+O83</f>
        <v>94000</v>
      </c>
      <c r="N83" s="2577"/>
      <c r="O83" s="2577">
        <v>94000</v>
      </c>
      <c r="P83" s="2588">
        <f>W83+X83</f>
        <v>0</v>
      </c>
      <c r="Q83" s="2578"/>
      <c r="R83" s="2578"/>
      <c r="S83" s="2577">
        <f>SUM(Z83:AC83)</f>
        <v>26063.3</v>
      </c>
      <c r="T83" s="2578"/>
      <c r="U83" s="2578"/>
      <c r="V83" s="2578"/>
      <c r="W83" s="2578"/>
      <c r="X83" s="2578"/>
      <c r="Y83" s="2578"/>
      <c r="Z83" s="2577"/>
      <c r="AA83" s="2577"/>
      <c r="AB83" s="2577"/>
      <c r="AC83" s="2577">
        <v>26063.3</v>
      </c>
      <c r="AD83" s="2577"/>
      <c r="AE83" s="2577"/>
      <c r="AF83" s="2577">
        <f>M83-S83</f>
        <v>67936.7</v>
      </c>
      <c r="AG83" s="2577"/>
      <c r="AH83" s="2577"/>
      <c r="AI83" s="2577"/>
      <c r="AJ83" s="2577"/>
      <c r="AK83" s="2577"/>
      <c r="AL83" s="2577"/>
      <c r="AM83" s="2577"/>
      <c r="AN83" s="2577"/>
      <c r="AO83" s="2577"/>
      <c r="AP83" s="2577"/>
      <c r="AQ83" s="2577">
        <f>AR83+AS83</f>
        <v>0</v>
      </c>
      <c r="AR83" s="2577"/>
      <c r="AS83" s="2592"/>
      <c r="AT83" s="2582"/>
      <c r="AU83" s="2582"/>
      <c r="AV83" s="2582"/>
      <c r="AW83" s="2582"/>
      <c r="AX83" s="2582"/>
      <c r="AY83" s="2582"/>
      <c r="AZ83" s="2582"/>
      <c r="BA83" s="2582"/>
      <c r="BB83" s="2582"/>
      <c r="BC83" s="2582"/>
      <c r="BD83" s="2582"/>
      <c r="BE83" s="2582"/>
      <c r="BF83" s="2582"/>
      <c r="BG83" s="2582"/>
      <c r="BH83" s="2582"/>
      <c r="BI83" s="2582"/>
      <c r="BJ83" s="2582"/>
      <c r="BK83" s="2582"/>
      <c r="BL83" s="2582"/>
      <c r="BM83" s="2582"/>
      <c r="BN83" s="2582"/>
      <c r="BO83" s="2582"/>
      <c r="BP83" s="2582"/>
    </row>
    <row r="84" spans="1:68" s="2583" customFormat="1" ht="15" x14ac:dyDescent="0.25">
      <c r="A84" s="2574" t="s">
        <v>23</v>
      </c>
      <c r="B84" s="2575" t="s">
        <v>1119</v>
      </c>
      <c r="C84" s="2576">
        <f t="shared" ref="C84:C85" si="93">J84+K84</f>
        <v>0</v>
      </c>
      <c r="D84" s="2577"/>
      <c r="E84" s="2577"/>
      <c r="F84" s="2577"/>
      <c r="G84" s="2577"/>
      <c r="H84" s="2577"/>
      <c r="I84" s="2577"/>
      <c r="J84" s="2577"/>
      <c r="K84" s="2577"/>
      <c r="L84" s="2577">
        <f t="shared" ref="L84:L85" si="94">M84+P84</f>
        <v>2000</v>
      </c>
      <c r="M84" s="2577">
        <f t="shared" ref="M84:M85" si="95">N84+O84</f>
        <v>2000</v>
      </c>
      <c r="N84" s="2577"/>
      <c r="O84" s="2577">
        <v>2000</v>
      </c>
      <c r="P84" s="2588">
        <f t="shared" ref="P84:P85" si="96">W84+X84</f>
        <v>0</v>
      </c>
      <c r="Q84" s="2578"/>
      <c r="R84" s="2578"/>
      <c r="S84" s="2577">
        <f>SUM(Z84:AC84)</f>
        <v>0</v>
      </c>
      <c r="T84" s="2578"/>
      <c r="U84" s="2578"/>
      <c r="V84" s="2578"/>
      <c r="W84" s="2578"/>
      <c r="X84" s="2578"/>
      <c r="Y84" s="2578"/>
      <c r="Z84" s="2577"/>
      <c r="AA84" s="2577"/>
      <c r="AB84" s="2577"/>
      <c r="AC84" s="2577"/>
      <c r="AD84" s="2577"/>
      <c r="AE84" s="2577"/>
      <c r="AF84" s="2577">
        <f>M84-S84</f>
        <v>2000</v>
      </c>
      <c r="AG84" s="2577"/>
      <c r="AH84" s="2577"/>
      <c r="AI84" s="2577"/>
      <c r="AJ84" s="2577"/>
      <c r="AK84" s="2577"/>
      <c r="AL84" s="2577"/>
      <c r="AM84" s="2577"/>
      <c r="AN84" s="2577"/>
      <c r="AO84" s="2577"/>
      <c r="AP84" s="2577"/>
      <c r="AQ84" s="2577">
        <f>AR84+AS84</f>
        <v>0</v>
      </c>
      <c r="AR84" s="2577"/>
      <c r="AS84" s="2592"/>
      <c r="AT84" s="2582"/>
      <c r="AU84" s="2582"/>
      <c r="AV84" s="2582"/>
      <c r="AW84" s="2582"/>
      <c r="AX84" s="2582"/>
      <c r="AY84" s="2582"/>
      <c r="AZ84" s="2582"/>
      <c r="BA84" s="2582"/>
      <c r="BB84" s="2582"/>
      <c r="BC84" s="2582"/>
      <c r="BD84" s="2582"/>
      <c r="BE84" s="2582"/>
      <c r="BF84" s="2582"/>
      <c r="BG84" s="2582"/>
      <c r="BH84" s="2582"/>
      <c r="BI84" s="2582"/>
      <c r="BJ84" s="2582"/>
      <c r="BK84" s="2582"/>
      <c r="BL84" s="2582"/>
      <c r="BM84" s="2582"/>
      <c r="BN84" s="2582"/>
      <c r="BO84" s="2582"/>
      <c r="BP84" s="2582"/>
    </row>
    <row r="85" spans="1:68" s="2583" customFormat="1" ht="15" x14ac:dyDescent="0.25">
      <c r="A85" s="2574" t="s">
        <v>23</v>
      </c>
      <c r="B85" s="2575" t="s">
        <v>502</v>
      </c>
      <c r="C85" s="2576">
        <f t="shared" si="93"/>
        <v>0</v>
      </c>
      <c r="D85" s="2577"/>
      <c r="E85" s="2577"/>
      <c r="F85" s="2577"/>
      <c r="G85" s="2577"/>
      <c r="H85" s="2577"/>
      <c r="I85" s="2577"/>
      <c r="J85" s="2577"/>
      <c r="K85" s="2577"/>
      <c r="L85" s="2577">
        <f t="shared" si="94"/>
        <v>0</v>
      </c>
      <c r="M85" s="2577">
        <f t="shared" si="95"/>
        <v>0</v>
      </c>
      <c r="N85" s="2577"/>
      <c r="O85" s="2577"/>
      <c r="P85" s="2588">
        <f t="shared" si="96"/>
        <v>0</v>
      </c>
      <c r="Q85" s="2578"/>
      <c r="R85" s="2578"/>
      <c r="S85" s="2592"/>
      <c r="T85" s="2594"/>
      <c r="U85" s="2594"/>
      <c r="V85" s="2594"/>
      <c r="W85" s="2594"/>
      <c r="X85" s="2594"/>
      <c r="Y85" s="2594"/>
      <c r="Z85" s="2592"/>
      <c r="AA85" s="2592"/>
      <c r="AB85" s="2592"/>
      <c r="AC85" s="2592"/>
      <c r="AD85" s="2592"/>
      <c r="AE85" s="2592"/>
      <c r="AF85" s="2592"/>
      <c r="AG85" s="2592"/>
      <c r="AH85" s="2592"/>
      <c r="AI85" s="2592"/>
      <c r="AJ85" s="2592"/>
      <c r="AK85" s="2592"/>
      <c r="AL85" s="2592"/>
      <c r="AM85" s="2592"/>
      <c r="AN85" s="2592"/>
      <c r="AO85" s="2592"/>
      <c r="AP85" s="2592"/>
      <c r="AQ85" s="2592"/>
      <c r="AR85" s="2592"/>
      <c r="AS85" s="2592"/>
      <c r="AT85" s="2582"/>
      <c r="AU85" s="2582"/>
      <c r="AV85" s="2582"/>
      <c r="AW85" s="2582"/>
      <c r="AX85" s="2582"/>
      <c r="AY85" s="2582"/>
      <c r="AZ85" s="2582"/>
      <c r="BA85" s="2582"/>
      <c r="BB85" s="2582"/>
      <c r="BC85" s="2582"/>
      <c r="BD85" s="2582"/>
      <c r="BE85" s="2582"/>
      <c r="BF85" s="2582"/>
      <c r="BG85" s="2582"/>
      <c r="BH85" s="2582"/>
      <c r="BI85" s="2582"/>
      <c r="BJ85" s="2582"/>
      <c r="BK85" s="2582"/>
      <c r="BL85" s="2582"/>
      <c r="BM85" s="2582"/>
      <c r="BN85" s="2582"/>
      <c r="BO85" s="2582"/>
      <c r="BP85" s="2582"/>
    </row>
    <row r="86" spans="1:68" s="2573" customFormat="1" ht="55.5" customHeight="1" x14ac:dyDescent="0.25">
      <c r="A86" s="2564" t="s">
        <v>17</v>
      </c>
      <c r="B86" s="2571" t="s">
        <v>1123</v>
      </c>
      <c r="C86" s="2565">
        <f>SUM(C87:I89)</f>
        <v>131656.95699999999</v>
      </c>
      <c r="D86" s="2565">
        <f t="shared" ref="D86:I86" si="97">SUM(D87:J89)</f>
        <v>0</v>
      </c>
      <c r="E86" s="2565">
        <f t="shared" si="97"/>
        <v>131656.95699999999</v>
      </c>
      <c r="F86" s="2565">
        <f t="shared" si="97"/>
        <v>2003896.9569999999</v>
      </c>
      <c r="G86" s="2565">
        <f t="shared" si="97"/>
        <v>3876136.9569999999</v>
      </c>
      <c r="H86" s="2565">
        <f t="shared" si="97"/>
        <v>3876136.9569999999</v>
      </c>
      <c r="I86" s="2565">
        <f t="shared" si="97"/>
        <v>5748376.9570000004</v>
      </c>
      <c r="J86" s="2565">
        <f>SUM(J87:J89)</f>
        <v>0</v>
      </c>
      <c r="K86" s="2609">
        <f t="shared" ref="K86:AR86" si="98">SUM(K87:K89)</f>
        <v>131656.95699999999</v>
      </c>
      <c r="L86" s="2609">
        <f t="shared" si="98"/>
        <v>1872240</v>
      </c>
      <c r="M86" s="2565">
        <f t="shared" si="98"/>
        <v>1872240</v>
      </c>
      <c r="N86" s="2565">
        <f t="shared" si="98"/>
        <v>0</v>
      </c>
      <c r="O86" s="2565">
        <f t="shared" si="98"/>
        <v>1872240</v>
      </c>
      <c r="P86" s="2565">
        <f t="shared" si="98"/>
        <v>0</v>
      </c>
      <c r="Q86" s="2565">
        <f t="shared" si="98"/>
        <v>0</v>
      </c>
      <c r="R86" s="2565">
        <f t="shared" si="98"/>
        <v>0</v>
      </c>
      <c r="S86" s="2609">
        <f t="shared" si="98"/>
        <v>265610</v>
      </c>
      <c r="T86" s="2565">
        <f t="shared" si="98"/>
        <v>0</v>
      </c>
      <c r="U86" s="2565">
        <f t="shared" si="98"/>
        <v>0</v>
      </c>
      <c r="V86" s="2565">
        <f t="shared" si="98"/>
        <v>0</v>
      </c>
      <c r="W86" s="2565">
        <f t="shared" si="98"/>
        <v>0</v>
      </c>
      <c r="X86" s="2565">
        <f t="shared" si="98"/>
        <v>0</v>
      </c>
      <c r="Y86" s="2565">
        <f t="shared" si="98"/>
        <v>0</v>
      </c>
      <c r="Z86" s="2565">
        <f t="shared" si="98"/>
        <v>0</v>
      </c>
      <c r="AA86" s="2565">
        <f t="shared" si="98"/>
        <v>0</v>
      </c>
      <c r="AB86" s="2565">
        <f t="shared" si="98"/>
        <v>0</v>
      </c>
      <c r="AC86" s="2565">
        <f t="shared" si="98"/>
        <v>265610</v>
      </c>
      <c r="AD86" s="2565">
        <f t="shared" si="98"/>
        <v>1360117.56</v>
      </c>
      <c r="AE86" s="2565">
        <f t="shared" si="98"/>
        <v>0</v>
      </c>
      <c r="AF86" s="2565">
        <f t="shared" si="98"/>
        <v>1360117.56</v>
      </c>
      <c r="AG86" s="2565">
        <f t="shared" si="98"/>
        <v>0</v>
      </c>
      <c r="AH86" s="2565">
        <f t="shared" si="98"/>
        <v>0</v>
      </c>
      <c r="AI86" s="2565">
        <f t="shared" si="98"/>
        <v>0</v>
      </c>
      <c r="AJ86" s="2565">
        <f t="shared" si="98"/>
        <v>0</v>
      </c>
      <c r="AK86" s="2565">
        <f t="shared" si="98"/>
        <v>0</v>
      </c>
      <c r="AL86" s="2565">
        <f t="shared" si="98"/>
        <v>0</v>
      </c>
      <c r="AM86" s="2565">
        <f t="shared" si="98"/>
        <v>0</v>
      </c>
      <c r="AN86" s="2565">
        <f t="shared" si="98"/>
        <v>0</v>
      </c>
      <c r="AO86" s="2565">
        <f t="shared" si="98"/>
        <v>0</v>
      </c>
      <c r="AP86" s="2565">
        <f t="shared" si="98"/>
        <v>0</v>
      </c>
      <c r="AQ86" s="2565">
        <f t="shared" si="98"/>
        <v>0</v>
      </c>
      <c r="AR86" s="2565">
        <f t="shared" si="98"/>
        <v>378169.397</v>
      </c>
      <c r="AS86" s="2566"/>
      <c r="AT86" s="2572"/>
      <c r="AU86" s="2572"/>
      <c r="AV86" s="2572"/>
      <c r="AW86" s="2572"/>
      <c r="AX86" s="2572"/>
      <c r="AY86" s="2572"/>
      <c r="AZ86" s="2572"/>
      <c r="BA86" s="2572"/>
      <c r="BB86" s="2572"/>
      <c r="BC86" s="2572"/>
      <c r="BD86" s="2572"/>
      <c r="BE86" s="2572"/>
      <c r="BF86" s="2572"/>
      <c r="BG86" s="2572"/>
      <c r="BH86" s="2572"/>
      <c r="BI86" s="2572"/>
      <c r="BJ86" s="2572"/>
      <c r="BK86" s="2572"/>
      <c r="BL86" s="2572"/>
      <c r="BM86" s="2572"/>
      <c r="BN86" s="2572"/>
      <c r="BO86" s="2572"/>
      <c r="BP86" s="2572"/>
    </row>
    <row r="87" spans="1:68" s="2580" customFormat="1" ht="21.75" customHeight="1" x14ac:dyDescent="0.25">
      <c r="A87" s="2574" t="s">
        <v>23</v>
      </c>
      <c r="B87" s="2575" t="s">
        <v>1118</v>
      </c>
      <c r="C87" s="2576">
        <f>J87+K87</f>
        <v>131656.95699999999</v>
      </c>
      <c r="D87" s="2577"/>
      <c r="E87" s="2577"/>
      <c r="F87" s="2577"/>
      <c r="G87" s="2577"/>
      <c r="H87" s="2577"/>
      <c r="I87" s="2577"/>
      <c r="J87" s="2577">
        <f t="shared" ref="J87:K89" si="99">J91+J107+J111+J116+J120</f>
        <v>0</v>
      </c>
      <c r="K87" s="2577">
        <f t="shared" si="99"/>
        <v>131656.95699999999</v>
      </c>
      <c r="L87" s="2577">
        <f>M87+P87</f>
        <v>1811240</v>
      </c>
      <c r="M87" s="2577">
        <f>N87+O87</f>
        <v>1811240</v>
      </c>
      <c r="N87" s="2577">
        <f t="shared" ref="N87:O89" si="100">N91+N107+N111+N116+N120</f>
        <v>0</v>
      </c>
      <c r="O87" s="2577">
        <f t="shared" si="100"/>
        <v>1811240</v>
      </c>
      <c r="P87" s="2578"/>
      <c r="Q87" s="2578">
        <f t="shared" ref="Q87:R89" si="101">Q91+Q107+Q111+Q116+Q120</f>
        <v>0</v>
      </c>
      <c r="R87" s="2578">
        <f t="shared" si="101"/>
        <v>0</v>
      </c>
      <c r="S87" s="2577">
        <f>SUM(Z87:AC87)</f>
        <v>252879.5</v>
      </c>
      <c r="T87" s="2578"/>
      <c r="U87" s="2578"/>
      <c r="V87" s="2578"/>
      <c r="W87" s="2578"/>
      <c r="X87" s="2578"/>
      <c r="Y87" s="2578"/>
      <c r="Z87" s="2577">
        <f t="shared" ref="Z87:AC89" si="102">Z91+Z107+Z111+Z116+Z120</f>
        <v>0</v>
      </c>
      <c r="AA87" s="2577">
        <f t="shared" si="102"/>
        <v>0</v>
      </c>
      <c r="AB87" s="2577">
        <f t="shared" si="102"/>
        <v>0</v>
      </c>
      <c r="AC87" s="2577">
        <f t="shared" si="102"/>
        <v>252879.5</v>
      </c>
      <c r="AD87" s="2577">
        <f>AE87+AF87</f>
        <v>1315848.06</v>
      </c>
      <c r="AE87" s="2577">
        <f t="shared" ref="AE87:AF89" si="103">AE91+AE107+AE111+AE116+AE120</f>
        <v>0</v>
      </c>
      <c r="AF87" s="2577">
        <f t="shared" si="103"/>
        <v>1315848.06</v>
      </c>
      <c r="AG87" s="2577">
        <f>SUM(AN87:AQ87)</f>
        <v>0</v>
      </c>
      <c r="AH87" s="2577"/>
      <c r="AI87" s="2577"/>
      <c r="AJ87" s="2577"/>
      <c r="AK87" s="2577"/>
      <c r="AL87" s="2577"/>
      <c r="AM87" s="2577"/>
      <c r="AN87" s="2577">
        <f t="shared" ref="AN87:AR89" si="104">AN91+AN107+AN111+AN116+AN120</f>
        <v>0</v>
      </c>
      <c r="AO87" s="2577">
        <f t="shared" si="104"/>
        <v>0</v>
      </c>
      <c r="AP87" s="2577">
        <f t="shared" si="104"/>
        <v>0</v>
      </c>
      <c r="AQ87" s="2577">
        <f t="shared" si="104"/>
        <v>0</v>
      </c>
      <c r="AR87" s="2577">
        <f t="shared" si="104"/>
        <v>374169.397</v>
      </c>
      <c r="AS87" s="2577"/>
      <c r="AT87" s="2579"/>
      <c r="AU87" s="2579"/>
      <c r="AV87" s="2579"/>
      <c r="AW87" s="2579"/>
      <c r="AX87" s="2579"/>
      <c r="AY87" s="2579"/>
      <c r="AZ87" s="2579"/>
      <c r="BA87" s="2579"/>
      <c r="BB87" s="2579"/>
      <c r="BC87" s="2579"/>
      <c r="BD87" s="2579"/>
      <c r="BE87" s="2579"/>
      <c r="BF87" s="2579"/>
      <c r="BG87" s="2579"/>
      <c r="BH87" s="2579"/>
      <c r="BI87" s="2579"/>
      <c r="BJ87" s="2579"/>
      <c r="BK87" s="2579"/>
      <c r="BL87" s="2579"/>
      <c r="BM87" s="2579"/>
      <c r="BN87" s="2579"/>
      <c r="BO87" s="2579"/>
      <c r="BP87" s="2579"/>
    </row>
    <row r="88" spans="1:68" s="2580" customFormat="1" ht="21.75" customHeight="1" x14ac:dyDescent="0.25">
      <c r="A88" s="2574" t="s">
        <v>23</v>
      </c>
      <c r="B88" s="2575" t="s">
        <v>1119</v>
      </c>
      <c r="C88" s="2576">
        <f t="shared" ref="C88:C130" si="105">J88+K88</f>
        <v>0</v>
      </c>
      <c r="D88" s="2577"/>
      <c r="E88" s="2577"/>
      <c r="F88" s="2577"/>
      <c r="G88" s="2577"/>
      <c r="H88" s="2577"/>
      <c r="I88" s="2577"/>
      <c r="J88" s="2577">
        <f t="shared" si="99"/>
        <v>0</v>
      </c>
      <c r="K88" s="2577">
        <f t="shared" si="99"/>
        <v>0</v>
      </c>
      <c r="L88" s="2577">
        <f t="shared" ref="L88:L89" si="106">M88+P88</f>
        <v>61000</v>
      </c>
      <c r="M88" s="2577">
        <f>N88+O88</f>
        <v>61000</v>
      </c>
      <c r="N88" s="2577">
        <f t="shared" si="100"/>
        <v>0</v>
      </c>
      <c r="O88" s="2577">
        <f t="shared" si="100"/>
        <v>61000</v>
      </c>
      <c r="P88" s="2578"/>
      <c r="Q88" s="2578">
        <f t="shared" si="101"/>
        <v>0</v>
      </c>
      <c r="R88" s="2578">
        <f t="shared" si="101"/>
        <v>0</v>
      </c>
      <c r="S88" s="2577">
        <f>SUM(Z88:AC88)</f>
        <v>12730.5</v>
      </c>
      <c r="T88" s="2578"/>
      <c r="U88" s="2578"/>
      <c r="V88" s="2578"/>
      <c r="W88" s="2578"/>
      <c r="X88" s="2578"/>
      <c r="Y88" s="2578"/>
      <c r="Z88" s="2577">
        <f t="shared" si="102"/>
        <v>0</v>
      </c>
      <c r="AA88" s="2577">
        <f t="shared" si="102"/>
        <v>0</v>
      </c>
      <c r="AB88" s="2577">
        <f t="shared" si="102"/>
        <v>0</v>
      </c>
      <c r="AC88" s="2577">
        <f t="shared" si="102"/>
        <v>12730.5</v>
      </c>
      <c r="AD88" s="2577">
        <f t="shared" ref="AD88:AD89" si="107">AE88+AF88</f>
        <v>44269.5</v>
      </c>
      <c r="AE88" s="2577">
        <f t="shared" si="103"/>
        <v>0</v>
      </c>
      <c r="AF88" s="2577">
        <f t="shared" si="103"/>
        <v>44269.5</v>
      </c>
      <c r="AG88" s="2577">
        <f t="shared" ref="AG88:AG89" si="108">SUM(AN88:AQ88)</f>
        <v>0</v>
      </c>
      <c r="AH88" s="2577"/>
      <c r="AI88" s="2577"/>
      <c r="AJ88" s="2577"/>
      <c r="AK88" s="2577"/>
      <c r="AL88" s="2577"/>
      <c r="AM88" s="2577"/>
      <c r="AN88" s="2577">
        <f t="shared" si="104"/>
        <v>0</v>
      </c>
      <c r="AO88" s="2577">
        <f t="shared" si="104"/>
        <v>0</v>
      </c>
      <c r="AP88" s="2577">
        <f t="shared" si="104"/>
        <v>0</v>
      </c>
      <c r="AQ88" s="2577">
        <f t="shared" si="104"/>
        <v>0</v>
      </c>
      <c r="AR88" s="2577">
        <f t="shared" si="104"/>
        <v>4000</v>
      </c>
      <c r="AS88" s="2577"/>
      <c r="AT88" s="2579"/>
      <c r="AU88" s="2579"/>
      <c r="AV88" s="2579"/>
      <c r="AW88" s="2579"/>
      <c r="AX88" s="2579"/>
      <c r="AY88" s="2579"/>
      <c r="AZ88" s="2579"/>
      <c r="BA88" s="2579"/>
      <c r="BB88" s="2579"/>
      <c r="BC88" s="2579"/>
      <c r="BD88" s="2579"/>
      <c r="BE88" s="2579"/>
      <c r="BF88" s="2579"/>
      <c r="BG88" s="2579"/>
      <c r="BH88" s="2579"/>
      <c r="BI88" s="2579"/>
      <c r="BJ88" s="2579"/>
      <c r="BK88" s="2579"/>
      <c r="BL88" s="2579"/>
      <c r="BM88" s="2579"/>
      <c r="BN88" s="2579"/>
      <c r="BO88" s="2579"/>
      <c r="BP88" s="2579"/>
    </row>
    <row r="89" spans="1:68" s="2580" customFormat="1" ht="15" x14ac:dyDescent="0.25">
      <c r="A89" s="2574" t="s">
        <v>23</v>
      </c>
      <c r="B89" s="2575" t="s">
        <v>502</v>
      </c>
      <c r="C89" s="2576">
        <f t="shared" si="105"/>
        <v>0</v>
      </c>
      <c r="D89" s="2577"/>
      <c r="E89" s="2577"/>
      <c r="F89" s="2577"/>
      <c r="G89" s="2577"/>
      <c r="H89" s="2577"/>
      <c r="I89" s="2577"/>
      <c r="J89" s="2577">
        <f t="shared" si="99"/>
        <v>0</v>
      </c>
      <c r="K89" s="2577">
        <f t="shared" si="99"/>
        <v>0</v>
      </c>
      <c r="L89" s="2577">
        <f t="shared" si="106"/>
        <v>0</v>
      </c>
      <c r="M89" s="2577">
        <f>N89+O89</f>
        <v>0</v>
      </c>
      <c r="N89" s="2577">
        <f t="shared" si="100"/>
        <v>0</v>
      </c>
      <c r="O89" s="2577">
        <f t="shared" si="100"/>
        <v>0</v>
      </c>
      <c r="P89" s="2578"/>
      <c r="Q89" s="2578">
        <f t="shared" si="101"/>
        <v>0</v>
      </c>
      <c r="R89" s="2578">
        <f t="shared" si="101"/>
        <v>0</v>
      </c>
      <c r="S89" s="2577">
        <f>SUM(Z89:AC89)</f>
        <v>0</v>
      </c>
      <c r="T89" s="2578"/>
      <c r="U89" s="2578"/>
      <c r="V89" s="2578"/>
      <c r="W89" s="2578"/>
      <c r="X89" s="2578"/>
      <c r="Y89" s="2578"/>
      <c r="Z89" s="2577">
        <f t="shared" si="102"/>
        <v>0</v>
      </c>
      <c r="AA89" s="2577">
        <f t="shared" si="102"/>
        <v>0</v>
      </c>
      <c r="AB89" s="2577">
        <f t="shared" si="102"/>
        <v>0</v>
      </c>
      <c r="AC89" s="2577">
        <f t="shared" si="102"/>
        <v>0</v>
      </c>
      <c r="AD89" s="2577">
        <f t="shared" si="107"/>
        <v>0</v>
      </c>
      <c r="AE89" s="2577">
        <f t="shared" si="103"/>
        <v>0</v>
      </c>
      <c r="AF89" s="2577">
        <f t="shared" si="103"/>
        <v>0</v>
      </c>
      <c r="AG89" s="2577">
        <f t="shared" si="108"/>
        <v>0</v>
      </c>
      <c r="AH89" s="2577"/>
      <c r="AI89" s="2577"/>
      <c r="AJ89" s="2577"/>
      <c r="AK89" s="2577"/>
      <c r="AL89" s="2577"/>
      <c r="AM89" s="2577"/>
      <c r="AN89" s="2577">
        <f t="shared" si="104"/>
        <v>0</v>
      </c>
      <c r="AO89" s="2577">
        <f t="shared" si="104"/>
        <v>0</v>
      </c>
      <c r="AP89" s="2577">
        <f t="shared" si="104"/>
        <v>0</v>
      </c>
      <c r="AQ89" s="2577">
        <f t="shared" si="104"/>
        <v>0</v>
      </c>
      <c r="AR89" s="2577">
        <f t="shared" si="104"/>
        <v>0</v>
      </c>
      <c r="AS89" s="2577"/>
      <c r="AT89" s="2579"/>
      <c r="AU89" s="2579"/>
      <c r="AV89" s="2579"/>
      <c r="AW89" s="2579"/>
      <c r="AX89" s="2579"/>
      <c r="AY89" s="2579"/>
      <c r="AZ89" s="2579"/>
      <c r="BA89" s="2579"/>
      <c r="BB89" s="2579"/>
      <c r="BC89" s="2579"/>
      <c r="BD89" s="2579"/>
      <c r="BE89" s="2579"/>
      <c r="BF89" s="2579"/>
      <c r="BG89" s="2579"/>
      <c r="BH89" s="2579"/>
      <c r="BI89" s="2579"/>
      <c r="BJ89" s="2579"/>
      <c r="BK89" s="2579"/>
      <c r="BL89" s="2579"/>
      <c r="BM89" s="2579"/>
      <c r="BN89" s="2579"/>
      <c r="BO89" s="2579"/>
      <c r="BP89" s="2579"/>
    </row>
    <row r="90" spans="1:68" s="2596" customFormat="1" ht="45" x14ac:dyDescent="0.25">
      <c r="A90" s="2589">
        <v>1</v>
      </c>
      <c r="B90" s="2590" t="s">
        <v>1422</v>
      </c>
      <c r="C90" s="2565">
        <f>SUM(C91:I93)</f>
        <v>119167.72899999999</v>
      </c>
      <c r="D90" s="2592"/>
      <c r="E90" s="2592"/>
      <c r="F90" s="2592"/>
      <c r="G90" s="2592"/>
      <c r="H90" s="2592"/>
      <c r="I90" s="2592"/>
      <c r="J90" s="2591">
        <f t="shared" ref="J90:K90" si="109">J91+J92</f>
        <v>0</v>
      </c>
      <c r="K90" s="2591">
        <f t="shared" si="109"/>
        <v>119167.72899999999</v>
      </c>
      <c r="L90" s="2591">
        <f>L91+L92</f>
        <v>1472240</v>
      </c>
      <c r="M90" s="2591">
        <f>M91+M92</f>
        <v>1472240</v>
      </c>
      <c r="N90" s="2592"/>
      <c r="O90" s="2591">
        <f>O91+O92</f>
        <v>1472240</v>
      </c>
      <c r="P90" s="2593">
        <f>P91+P92</f>
        <v>0</v>
      </c>
      <c r="Q90" s="2594"/>
      <c r="R90" s="2593">
        <f>R91+R92</f>
        <v>0</v>
      </c>
      <c r="S90" s="2591">
        <f>S91+S92</f>
        <v>14610</v>
      </c>
      <c r="T90" s="2593">
        <f t="shared" ref="T90:AR90" si="110">T91+T92</f>
        <v>0</v>
      </c>
      <c r="U90" s="2593">
        <f t="shared" si="110"/>
        <v>0</v>
      </c>
      <c r="V90" s="2593">
        <f t="shared" si="110"/>
        <v>0</v>
      </c>
      <c r="W90" s="2593">
        <f t="shared" si="110"/>
        <v>0</v>
      </c>
      <c r="X90" s="2593">
        <f t="shared" si="110"/>
        <v>0</v>
      </c>
      <c r="Y90" s="2593">
        <f t="shared" si="110"/>
        <v>0</v>
      </c>
      <c r="Z90" s="2591">
        <f t="shared" si="110"/>
        <v>0</v>
      </c>
      <c r="AA90" s="2591">
        <f t="shared" si="110"/>
        <v>0</v>
      </c>
      <c r="AB90" s="2591">
        <f t="shared" si="110"/>
        <v>0</v>
      </c>
      <c r="AC90" s="2591">
        <f t="shared" si="110"/>
        <v>14610</v>
      </c>
      <c r="AD90" s="2591">
        <f t="shared" si="110"/>
        <v>1293630</v>
      </c>
      <c r="AE90" s="2591">
        <f t="shared" si="110"/>
        <v>0</v>
      </c>
      <c r="AF90" s="2591">
        <f t="shared" si="110"/>
        <v>1293630</v>
      </c>
      <c r="AG90" s="2591">
        <f t="shared" si="110"/>
        <v>0</v>
      </c>
      <c r="AH90" s="2591">
        <f t="shared" si="110"/>
        <v>0</v>
      </c>
      <c r="AI90" s="2591">
        <f t="shared" si="110"/>
        <v>0</v>
      </c>
      <c r="AJ90" s="2591">
        <f t="shared" si="110"/>
        <v>0</v>
      </c>
      <c r="AK90" s="2591">
        <f t="shared" si="110"/>
        <v>0</v>
      </c>
      <c r="AL90" s="2591">
        <f t="shared" si="110"/>
        <v>0</v>
      </c>
      <c r="AM90" s="2591">
        <f t="shared" si="110"/>
        <v>0</v>
      </c>
      <c r="AN90" s="2591">
        <f t="shared" si="110"/>
        <v>0</v>
      </c>
      <c r="AO90" s="2591">
        <f t="shared" si="110"/>
        <v>0</v>
      </c>
      <c r="AP90" s="2591">
        <f t="shared" si="110"/>
        <v>0</v>
      </c>
      <c r="AQ90" s="2591">
        <f t="shared" si="110"/>
        <v>0</v>
      </c>
      <c r="AR90" s="2591">
        <f t="shared" si="110"/>
        <v>283167.72899999999</v>
      </c>
      <c r="AS90" s="2592"/>
      <c r="AT90" s="2595"/>
      <c r="AU90" s="2595"/>
      <c r="AV90" s="2595"/>
      <c r="AW90" s="2595"/>
      <c r="AX90" s="2595"/>
      <c r="AY90" s="2595"/>
      <c r="AZ90" s="2595"/>
      <c r="BA90" s="2595"/>
      <c r="BB90" s="2595"/>
      <c r="BC90" s="2595"/>
      <c r="BD90" s="2595"/>
      <c r="BE90" s="2595"/>
      <c r="BF90" s="2595"/>
      <c r="BG90" s="2595"/>
      <c r="BH90" s="2595"/>
      <c r="BI90" s="2595"/>
      <c r="BJ90" s="2595"/>
      <c r="BK90" s="2595"/>
      <c r="BL90" s="2595"/>
      <c r="BM90" s="2595"/>
      <c r="BN90" s="2595"/>
      <c r="BO90" s="2595"/>
      <c r="BP90" s="2595"/>
    </row>
    <row r="91" spans="1:68" s="2580" customFormat="1" ht="21.75" customHeight="1" x14ac:dyDescent="0.25">
      <c r="A91" s="2574" t="s">
        <v>23</v>
      </c>
      <c r="B91" s="2575" t="s">
        <v>1118</v>
      </c>
      <c r="C91" s="2576">
        <f t="shared" si="105"/>
        <v>119167.72899999999</v>
      </c>
      <c r="D91" s="2577"/>
      <c r="E91" s="2577"/>
      <c r="F91" s="2577"/>
      <c r="G91" s="2577"/>
      <c r="H91" s="2577"/>
      <c r="I91" s="2577"/>
      <c r="J91" s="2577"/>
      <c r="K91" s="2577">
        <f>K95+K99+K103</f>
        <v>119167.72899999999</v>
      </c>
      <c r="L91" s="2577">
        <f>M91+P91</f>
        <v>1432240</v>
      </c>
      <c r="M91" s="2577">
        <f>N91+O91</f>
        <v>1432240</v>
      </c>
      <c r="N91" s="2577">
        <f>N95+N99+N103</f>
        <v>0</v>
      </c>
      <c r="O91" s="2577">
        <f>O95+O99+O103</f>
        <v>1432240</v>
      </c>
      <c r="P91" s="2588">
        <f>W91+X91</f>
        <v>0</v>
      </c>
      <c r="Q91" s="2578"/>
      <c r="R91" s="2578"/>
      <c r="S91" s="2577">
        <f>SUM(Z91:AC91)</f>
        <v>13879.5</v>
      </c>
      <c r="T91" s="2578"/>
      <c r="U91" s="2578"/>
      <c r="V91" s="2578"/>
      <c r="W91" s="2578"/>
      <c r="X91" s="2578"/>
      <c r="Y91" s="2578"/>
      <c r="Z91" s="2577"/>
      <c r="AA91" s="2577"/>
      <c r="AB91" s="2577"/>
      <c r="AC91" s="2577">
        <f>AC95+AC99+AC103</f>
        <v>13879.5</v>
      </c>
      <c r="AD91" s="2576">
        <f>AE91+AF91</f>
        <v>1254360.5</v>
      </c>
      <c r="AE91" s="2577"/>
      <c r="AF91" s="2577">
        <f>AF95+AF99+AF103</f>
        <v>1254360.5</v>
      </c>
      <c r="AG91" s="2577"/>
      <c r="AH91" s="2577"/>
      <c r="AI91" s="2577"/>
      <c r="AJ91" s="2577"/>
      <c r="AK91" s="2577"/>
      <c r="AL91" s="2577"/>
      <c r="AM91" s="2577"/>
      <c r="AN91" s="2577"/>
      <c r="AO91" s="2577"/>
      <c r="AP91" s="2577"/>
      <c r="AQ91" s="2577"/>
      <c r="AR91" s="2577">
        <f>AR95+AR99+AR103</f>
        <v>283167.72899999999</v>
      </c>
      <c r="AS91" s="2577"/>
      <c r="AT91" s="2579"/>
      <c r="AU91" s="2579"/>
      <c r="AV91" s="2579"/>
      <c r="AW91" s="2579"/>
      <c r="AX91" s="2579"/>
      <c r="AY91" s="2579"/>
      <c r="AZ91" s="2579"/>
      <c r="BA91" s="2579"/>
      <c r="BB91" s="2579"/>
      <c r="BC91" s="2579"/>
      <c r="BD91" s="2579"/>
      <c r="BE91" s="2579"/>
      <c r="BF91" s="2579"/>
      <c r="BG91" s="2579"/>
      <c r="BH91" s="2579"/>
      <c r="BI91" s="2579"/>
      <c r="BJ91" s="2579"/>
      <c r="BK91" s="2579"/>
      <c r="BL91" s="2579"/>
      <c r="BM91" s="2579"/>
      <c r="BN91" s="2579"/>
      <c r="BO91" s="2579"/>
      <c r="BP91" s="2579"/>
    </row>
    <row r="92" spans="1:68" s="2580" customFormat="1" ht="21.75" customHeight="1" x14ac:dyDescent="0.25">
      <c r="A92" s="2574" t="s">
        <v>23</v>
      </c>
      <c r="B92" s="2575" t="s">
        <v>1119</v>
      </c>
      <c r="C92" s="2576">
        <f t="shared" si="105"/>
        <v>0</v>
      </c>
      <c r="D92" s="2577"/>
      <c r="E92" s="2577"/>
      <c r="F92" s="2577"/>
      <c r="G92" s="2577"/>
      <c r="H92" s="2577"/>
      <c r="I92" s="2577"/>
      <c r="J92" s="2577"/>
      <c r="K92" s="2577">
        <f t="shared" ref="K92:K93" si="111">K96+K100+K104</f>
        <v>0</v>
      </c>
      <c r="L92" s="2577">
        <f t="shared" ref="L92:L93" si="112">M92+P92</f>
        <v>40000</v>
      </c>
      <c r="M92" s="2577">
        <f>N92+O92</f>
        <v>40000</v>
      </c>
      <c r="N92" s="2577">
        <f t="shared" ref="N92:O93" si="113">N96+N100+N104</f>
        <v>0</v>
      </c>
      <c r="O92" s="2577">
        <f>O96+O100+O104</f>
        <v>40000</v>
      </c>
      <c r="P92" s="2588">
        <f>W92+X92</f>
        <v>0</v>
      </c>
      <c r="Q92" s="2578"/>
      <c r="R92" s="2578"/>
      <c r="S92" s="2577">
        <f>SUM(Z92:AC92)</f>
        <v>730.5</v>
      </c>
      <c r="T92" s="2578"/>
      <c r="U92" s="2578"/>
      <c r="V92" s="2578"/>
      <c r="W92" s="2578"/>
      <c r="X92" s="2578"/>
      <c r="Y92" s="2578"/>
      <c r="Z92" s="2577"/>
      <c r="AA92" s="2577"/>
      <c r="AB92" s="2577"/>
      <c r="AC92" s="2577">
        <f>AC96+AC100+AC104</f>
        <v>730.5</v>
      </c>
      <c r="AD92" s="2576">
        <f>AE92+AF92</f>
        <v>39269.5</v>
      </c>
      <c r="AE92" s="2577"/>
      <c r="AF92" s="2577">
        <f>AF96+AF100+AF104</f>
        <v>39269.5</v>
      </c>
      <c r="AG92" s="2577"/>
      <c r="AH92" s="2577"/>
      <c r="AI92" s="2577"/>
      <c r="AJ92" s="2577"/>
      <c r="AK92" s="2577"/>
      <c r="AL92" s="2577"/>
      <c r="AM92" s="2577"/>
      <c r="AN92" s="2577"/>
      <c r="AO92" s="2577"/>
      <c r="AP92" s="2577"/>
      <c r="AQ92" s="2577"/>
      <c r="AR92" s="2577">
        <f>AR96+AR100+AR104</f>
        <v>0</v>
      </c>
      <c r="AS92" s="2577"/>
      <c r="AT92" s="2579"/>
      <c r="AU92" s="2579"/>
      <c r="AV92" s="2579"/>
      <c r="AW92" s="2579"/>
      <c r="AX92" s="2579"/>
      <c r="AY92" s="2579"/>
      <c r="AZ92" s="2579"/>
      <c r="BA92" s="2579"/>
      <c r="BB92" s="2579"/>
      <c r="BC92" s="2579"/>
      <c r="BD92" s="2579"/>
      <c r="BE92" s="2579"/>
      <c r="BF92" s="2579"/>
      <c r="BG92" s="2579"/>
      <c r="BH92" s="2579"/>
      <c r="BI92" s="2579"/>
      <c r="BJ92" s="2579"/>
      <c r="BK92" s="2579"/>
      <c r="BL92" s="2579"/>
      <c r="BM92" s="2579"/>
      <c r="BN92" s="2579"/>
      <c r="BO92" s="2579"/>
      <c r="BP92" s="2579"/>
    </row>
    <row r="93" spans="1:68" s="2580" customFormat="1" ht="15" x14ac:dyDescent="0.25">
      <c r="A93" s="2574" t="s">
        <v>23</v>
      </c>
      <c r="B93" s="2575" t="s">
        <v>502</v>
      </c>
      <c r="C93" s="2576">
        <f t="shared" si="105"/>
        <v>0</v>
      </c>
      <c r="D93" s="2577"/>
      <c r="E93" s="2577"/>
      <c r="F93" s="2577"/>
      <c r="G93" s="2577"/>
      <c r="H93" s="2577"/>
      <c r="I93" s="2577"/>
      <c r="J93" s="2577"/>
      <c r="K93" s="2577">
        <f t="shared" si="111"/>
        <v>0</v>
      </c>
      <c r="L93" s="2577">
        <f t="shared" si="112"/>
        <v>0</v>
      </c>
      <c r="M93" s="2577">
        <f t="shared" ref="M93" si="114">N93+O93</f>
        <v>0</v>
      </c>
      <c r="N93" s="2577">
        <f t="shared" si="113"/>
        <v>0</v>
      </c>
      <c r="O93" s="2577">
        <f t="shared" si="113"/>
        <v>0</v>
      </c>
      <c r="P93" s="2578"/>
      <c r="Q93" s="2578"/>
      <c r="R93" s="2578"/>
      <c r="S93" s="2577"/>
      <c r="T93" s="2578"/>
      <c r="U93" s="2578"/>
      <c r="V93" s="2578"/>
      <c r="W93" s="2578"/>
      <c r="X93" s="2578"/>
      <c r="Y93" s="2578"/>
      <c r="Z93" s="2577"/>
      <c r="AA93" s="2577"/>
      <c r="AB93" s="2577"/>
      <c r="AC93" s="2577">
        <f t="shared" ref="AC93" si="115">AC97+AC101+AC105</f>
        <v>0</v>
      </c>
      <c r="AD93" s="2577"/>
      <c r="AE93" s="2577"/>
      <c r="AF93" s="2577">
        <f t="shared" ref="AF93" si="116">AF97+AF101+AF105</f>
        <v>0</v>
      </c>
      <c r="AG93" s="2577"/>
      <c r="AH93" s="2577"/>
      <c r="AI93" s="2577"/>
      <c r="AJ93" s="2577"/>
      <c r="AK93" s="2577"/>
      <c r="AL93" s="2577"/>
      <c r="AM93" s="2577"/>
      <c r="AN93" s="2577"/>
      <c r="AO93" s="2577"/>
      <c r="AP93" s="2577"/>
      <c r="AQ93" s="2577"/>
      <c r="AR93" s="2577">
        <f t="shared" ref="AR93" si="117">AR97+AR101+AR105</f>
        <v>0</v>
      </c>
      <c r="AS93" s="2577"/>
      <c r="AT93" s="2579"/>
      <c r="AU93" s="2579"/>
      <c r="AV93" s="2579"/>
      <c r="AW93" s="2579"/>
      <c r="AX93" s="2579"/>
      <c r="AY93" s="2579"/>
      <c r="AZ93" s="2579"/>
      <c r="BA93" s="2579"/>
      <c r="BB93" s="2579"/>
      <c r="BC93" s="2579"/>
      <c r="BD93" s="2579"/>
      <c r="BE93" s="2579"/>
      <c r="BF93" s="2579"/>
      <c r="BG93" s="2579"/>
      <c r="BH93" s="2579"/>
      <c r="BI93" s="2579"/>
      <c r="BJ93" s="2579"/>
      <c r="BK93" s="2579"/>
      <c r="BL93" s="2579"/>
      <c r="BM93" s="2579"/>
      <c r="BN93" s="2579"/>
      <c r="BO93" s="2579"/>
      <c r="BP93" s="2579"/>
    </row>
    <row r="94" spans="1:68" s="2580" customFormat="1" ht="75" x14ac:dyDescent="0.25">
      <c r="A94" s="2574" t="s">
        <v>7</v>
      </c>
      <c r="B94" s="2607" t="s">
        <v>2152</v>
      </c>
      <c r="C94" s="2576">
        <f>SUM(C95:C97)</f>
        <v>118170.689</v>
      </c>
      <c r="D94" s="2576">
        <f t="shared" ref="D94:AR94" si="118">SUM(D95:D97)</f>
        <v>0</v>
      </c>
      <c r="E94" s="2576">
        <f t="shared" si="118"/>
        <v>0</v>
      </c>
      <c r="F94" s="2576">
        <f t="shared" si="118"/>
        <v>0</v>
      </c>
      <c r="G94" s="2576">
        <f t="shared" si="118"/>
        <v>0</v>
      </c>
      <c r="H94" s="2576">
        <f t="shared" si="118"/>
        <v>0</v>
      </c>
      <c r="I94" s="2576">
        <f t="shared" si="118"/>
        <v>0</v>
      </c>
      <c r="J94" s="2576">
        <f t="shared" si="118"/>
        <v>0</v>
      </c>
      <c r="K94" s="2576">
        <f t="shared" si="118"/>
        <v>118170.689</v>
      </c>
      <c r="L94" s="2576">
        <f t="shared" si="118"/>
        <v>199000</v>
      </c>
      <c r="M94" s="2576">
        <f t="shared" si="118"/>
        <v>199000</v>
      </c>
      <c r="N94" s="2576">
        <f t="shared" si="118"/>
        <v>0</v>
      </c>
      <c r="O94" s="2576">
        <f t="shared" si="118"/>
        <v>159000</v>
      </c>
      <c r="P94" s="2588">
        <f t="shared" si="118"/>
        <v>0</v>
      </c>
      <c r="Q94" s="2588">
        <f t="shared" si="118"/>
        <v>0</v>
      </c>
      <c r="R94" s="2588">
        <f t="shared" si="118"/>
        <v>0</v>
      </c>
      <c r="S94" s="2576">
        <f t="shared" si="118"/>
        <v>0</v>
      </c>
      <c r="T94" s="2576">
        <f t="shared" si="118"/>
        <v>0</v>
      </c>
      <c r="U94" s="2576">
        <f t="shared" si="118"/>
        <v>0</v>
      </c>
      <c r="V94" s="2576">
        <f t="shared" si="118"/>
        <v>0</v>
      </c>
      <c r="W94" s="2576">
        <f t="shared" si="118"/>
        <v>0</v>
      </c>
      <c r="X94" s="2576">
        <f t="shared" si="118"/>
        <v>0</v>
      </c>
      <c r="Y94" s="2576">
        <f t="shared" si="118"/>
        <v>0</v>
      </c>
      <c r="Z94" s="2576">
        <f t="shared" si="118"/>
        <v>0</v>
      </c>
      <c r="AA94" s="2576">
        <f t="shared" si="118"/>
        <v>0</v>
      </c>
      <c r="AB94" s="2576">
        <f t="shared" si="118"/>
        <v>0</v>
      </c>
      <c r="AC94" s="2576">
        <f t="shared" si="118"/>
        <v>0</v>
      </c>
      <c r="AD94" s="2576">
        <f t="shared" si="118"/>
        <v>0</v>
      </c>
      <c r="AE94" s="2576">
        <f t="shared" si="118"/>
        <v>0</v>
      </c>
      <c r="AF94" s="2576">
        <f t="shared" si="118"/>
        <v>0</v>
      </c>
      <c r="AG94" s="2576">
        <f t="shared" si="118"/>
        <v>0</v>
      </c>
      <c r="AH94" s="2576">
        <f t="shared" si="118"/>
        <v>0</v>
      </c>
      <c r="AI94" s="2576">
        <f t="shared" si="118"/>
        <v>0</v>
      </c>
      <c r="AJ94" s="2576">
        <f t="shared" si="118"/>
        <v>0</v>
      </c>
      <c r="AK94" s="2576">
        <f t="shared" si="118"/>
        <v>0</v>
      </c>
      <c r="AL94" s="2576">
        <f t="shared" si="118"/>
        <v>0</v>
      </c>
      <c r="AM94" s="2576">
        <f t="shared" si="118"/>
        <v>0</v>
      </c>
      <c r="AN94" s="2576">
        <f t="shared" si="118"/>
        <v>0</v>
      </c>
      <c r="AO94" s="2576">
        <f t="shared" si="118"/>
        <v>0</v>
      </c>
      <c r="AP94" s="2576">
        <f t="shared" si="118"/>
        <v>0</v>
      </c>
      <c r="AQ94" s="2576">
        <f t="shared" si="118"/>
        <v>0</v>
      </c>
      <c r="AR94" s="2576">
        <f t="shared" si="118"/>
        <v>277170.68900000001</v>
      </c>
      <c r="AS94" s="2591">
        <f t="shared" ref="AS94:BA94" si="119">AS95+AS96</f>
        <v>0</v>
      </c>
      <c r="AT94" s="2591"/>
      <c r="AU94" s="2591">
        <f t="shared" si="119"/>
        <v>0</v>
      </c>
      <c r="AV94" s="2591">
        <f t="shared" si="119"/>
        <v>0</v>
      </c>
      <c r="AW94" s="2591">
        <f t="shared" si="119"/>
        <v>0</v>
      </c>
      <c r="AX94" s="2591">
        <f t="shared" si="119"/>
        <v>0</v>
      </c>
      <c r="AY94" s="2591">
        <f t="shared" si="119"/>
        <v>0</v>
      </c>
      <c r="AZ94" s="2591">
        <f t="shared" si="119"/>
        <v>0</v>
      </c>
      <c r="BA94" s="2591">
        <f t="shared" si="119"/>
        <v>0</v>
      </c>
      <c r="BB94" s="2579"/>
      <c r="BC94" s="2579"/>
      <c r="BD94" s="2579"/>
      <c r="BE94" s="2579"/>
      <c r="BF94" s="2579"/>
      <c r="BG94" s="2579"/>
      <c r="BH94" s="2579"/>
      <c r="BI94" s="2579"/>
      <c r="BJ94" s="2579"/>
      <c r="BK94" s="2579"/>
      <c r="BL94" s="2579"/>
      <c r="BM94" s="2579"/>
      <c r="BN94" s="2579"/>
      <c r="BO94" s="2579"/>
      <c r="BP94" s="2579"/>
    </row>
    <row r="95" spans="1:68" s="2580" customFormat="1" ht="15" x14ac:dyDescent="0.25">
      <c r="A95" s="2574" t="s">
        <v>23</v>
      </c>
      <c r="B95" s="2575" t="s">
        <v>1118</v>
      </c>
      <c r="C95" s="2577">
        <f>J95+K95</f>
        <v>118170.689</v>
      </c>
      <c r="D95" s="2577"/>
      <c r="E95" s="2577"/>
      <c r="F95" s="2577"/>
      <c r="G95" s="2577"/>
      <c r="H95" s="2577"/>
      <c r="I95" s="2577"/>
      <c r="J95" s="2577"/>
      <c r="K95" s="2577">
        <v>118170.689</v>
      </c>
      <c r="L95" s="2577">
        <f>M95+P95</f>
        <v>159000</v>
      </c>
      <c r="M95" s="2577">
        <f>N95+O95</f>
        <v>159000</v>
      </c>
      <c r="N95" s="2592"/>
      <c r="O95" s="2577">
        <v>159000</v>
      </c>
      <c r="P95" s="2578"/>
      <c r="Q95" s="2578"/>
      <c r="R95" s="2578"/>
      <c r="S95" s="2577">
        <f>SUM(T95:AC95)</f>
        <v>0</v>
      </c>
      <c r="T95" s="2592"/>
      <c r="U95" s="2592"/>
      <c r="V95" s="2577">
        <f>W95+Z95</f>
        <v>0</v>
      </c>
      <c r="W95" s="2577">
        <f>X95+Y95</f>
        <v>0</v>
      </c>
      <c r="X95" s="2592"/>
      <c r="Y95" s="2577"/>
      <c r="Z95" s="2588">
        <f>AG95+AH95</f>
        <v>0</v>
      </c>
      <c r="AA95" s="2578"/>
      <c r="AB95" s="2578"/>
      <c r="AC95" s="2577"/>
      <c r="AD95" s="2578"/>
      <c r="AE95" s="2578"/>
      <c r="AF95" s="2578"/>
      <c r="AG95" s="2578"/>
      <c r="AH95" s="2578"/>
      <c r="AI95" s="2578"/>
      <c r="AJ95" s="2577"/>
      <c r="AK95" s="2577"/>
      <c r="AL95" s="2577"/>
      <c r="AM95" s="2577">
        <v>0</v>
      </c>
      <c r="AN95" s="2576"/>
      <c r="AO95" s="2577"/>
      <c r="AP95" s="2577">
        <f>V95-AC95</f>
        <v>0</v>
      </c>
      <c r="AQ95" s="2577"/>
      <c r="AR95" s="2577">
        <f>C95+L95</f>
        <v>277170.68900000001</v>
      </c>
      <c r="AS95" s="2577"/>
      <c r="AT95" s="2577"/>
      <c r="AU95" s="2577"/>
      <c r="AV95" s="2577"/>
      <c r="AW95" s="2577"/>
      <c r="AX95" s="2577"/>
      <c r="AY95" s="2577"/>
      <c r="AZ95" s="2577"/>
      <c r="BA95" s="2577"/>
      <c r="BB95" s="2579"/>
      <c r="BC95" s="2579"/>
      <c r="BD95" s="2579"/>
      <c r="BE95" s="2579"/>
      <c r="BF95" s="2579"/>
      <c r="BG95" s="2579"/>
      <c r="BH95" s="2579"/>
      <c r="BI95" s="2579"/>
      <c r="BJ95" s="2579"/>
      <c r="BK95" s="2579"/>
      <c r="BL95" s="2579"/>
      <c r="BM95" s="2579"/>
      <c r="BN95" s="2579"/>
      <c r="BO95" s="2579"/>
      <c r="BP95" s="2579"/>
    </row>
    <row r="96" spans="1:68" s="2580" customFormat="1" ht="15" x14ac:dyDescent="0.25">
      <c r="A96" s="2574" t="s">
        <v>23</v>
      </c>
      <c r="B96" s="2575" t="s">
        <v>1119</v>
      </c>
      <c r="C96" s="2577">
        <f t="shared" ref="C96:C97" si="120">J96+K96</f>
        <v>0</v>
      </c>
      <c r="D96" s="2577"/>
      <c r="E96" s="2577"/>
      <c r="F96" s="2577"/>
      <c r="G96" s="2577"/>
      <c r="H96" s="2577"/>
      <c r="I96" s="2577"/>
      <c r="J96" s="2577"/>
      <c r="K96" s="2577"/>
      <c r="L96" s="2577">
        <f t="shared" ref="L96:L97" si="121">M96+P96</f>
        <v>40000</v>
      </c>
      <c r="M96" s="2577">
        <f>N96+O100</f>
        <v>40000</v>
      </c>
      <c r="N96" s="2592"/>
      <c r="P96" s="2578"/>
      <c r="Q96" s="2578"/>
      <c r="R96" s="2578"/>
      <c r="S96" s="2577">
        <f t="shared" ref="S96:S97" si="122">SUM(T96:AC96)</f>
        <v>0</v>
      </c>
      <c r="T96" s="2592"/>
      <c r="U96" s="2592"/>
      <c r="V96" s="2577">
        <f t="shared" ref="V96:V97" si="123">W96+Z96</f>
        <v>0</v>
      </c>
      <c r="W96" s="2577">
        <f t="shared" ref="W96:W97" si="124">X96+Y96</f>
        <v>0</v>
      </c>
      <c r="X96" s="2592"/>
      <c r="Y96" s="2577"/>
      <c r="Z96" s="2588">
        <f>AG96+AH96</f>
        <v>0</v>
      </c>
      <c r="AA96" s="2578"/>
      <c r="AB96" s="2578"/>
      <c r="AD96" s="2578"/>
      <c r="AE96" s="2578"/>
      <c r="AF96" s="2578"/>
      <c r="AG96" s="2578"/>
      <c r="AH96" s="2578"/>
      <c r="AI96" s="2578"/>
      <c r="AJ96" s="2577"/>
      <c r="AK96" s="2577"/>
      <c r="AL96" s="2577"/>
      <c r="AM96" s="2577">
        <v>0</v>
      </c>
      <c r="AN96" s="2576"/>
      <c r="AO96" s="2577"/>
      <c r="AP96" s="2577"/>
      <c r="AQ96" s="2577"/>
      <c r="AR96" s="2577"/>
      <c r="AS96" s="2577"/>
      <c r="AT96" s="2577"/>
      <c r="AU96" s="2577"/>
      <c r="AV96" s="2577"/>
      <c r="AW96" s="2577"/>
      <c r="AX96" s="2577"/>
      <c r="AY96" s="2577"/>
      <c r="AZ96" s="2577"/>
      <c r="BA96" s="2577"/>
      <c r="BB96" s="2579"/>
      <c r="BC96" s="2579"/>
      <c r="BD96" s="2579"/>
      <c r="BE96" s="2579"/>
      <c r="BF96" s="2579"/>
      <c r="BG96" s="2579"/>
      <c r="BH96" s="2579"/>
      <c r="BI96" s="2579"/>
      <c r="BJ96" s="2579"/>
      <c r="BK96" s="2579"/>
      <c r="BL96" s="2579"/>
      <c r="BM96" s="2579"/>
      <c r="BN96" s="2579"/>
      <c r="BO96" s="2579"/>
      <c r="BP96" s="2579"/>
    </row>
    <row r="97" spans="1:68" s="2580" customFormat="1" ht="15" x14ac:dyDescent="0.25">
      <c r="A97" s="2574" t="s">
        <v>23</v>
      </c>
      <c r="B97" s="2575" t="s">
        <v>502</v>
      </c>
      <c r="C97" s="2577">
        <f t="shared" si="120"/>
        <v>0</v>
      </c>
      <c r="D97" s="2577"/>
      <c r="E97" s="2577"/>
      <c r="F97" s="2577"/>
      <c r="G97" s="2577"/>
      <c r="H97" s="2577"/>
      <c r="I97" s="2577"/>
      <c r="J97" s="2577"/>
      <c r="K97" s="2577"/>
      <c r="L97" s="2577">
        <f t="shared" si="121"/>
        <v>0</v>
      </c>
      <c r="M97" s="2577">
        <f t="shared" ref="M97" si="125">N97+O97</f>
        <v>0</v>
      </c>
      <c r="N97" s="2592"/>
      <c r="O97" s="2577"/>
      <c r="P97" s="2578"/>
      <c r="Q97" s="2578"/>
      <c r="R97" s="2578"/>
      <c r="S97" s="2577">
        <f t="shared" si="122"/>
        <v>0</v>
      </c>
      <c r="T97" s="2592"/>
      <c r="U97" s="2592"/>
      <c r="V97" s="2577">
        <f t="shared" si="123"/>
        <v>0</v>
      </c>
      <c r="W97" s="2577">
        <f t="shared" si="124"/>
        <v>0</v>
      </c>
      <c r="X97" s="2592"/>
      <c r="Y97" s="2577"/>
      <c r="Z97" s="2578"/>
      <c r="AA97" s="2578"/>
      <c r="AB97" s="2578"/>
      <c r="AC97" s="2577"/>
      <c r="AD97" s="2578"/>
      <c r="AE97" s="2578"/>
      <c r="AF97" s="2578"/>
      <c r="AG97" s="2578"/>
      <c r="AH97" s="2578"/>
      <c r="AI97" s="2578"/>
      <c r="AJ97" s="2577"/>
      <c r="AK97" s="2577"/>
      <c r="AL97" s="2577"/>
      <c r="AM97" s="2577"/>
      <c r="AN97" s="2577"/>
      <c r="AO97" s="2577"/>
      <c r="AP97" s="2577"/>
      <c r="AQ97" s="2577"/>
      <c r="AR97" s="2577"/>
      <c r="AS97" s="2577"/>
      <c r="AT97" s="2577"/>
      <c r="AU97" s="2577"/>
      <c r="AV97" s="2577"/>
      <c r="AW97" s="2577"/>
      <c r="AX97" s="2577"/>
      <c r="AY97" s="2577"/>
      <c r="AZ97" s="2577"/>
      <c r="BA97" s="2577"/>
      <c r="BB97" s="2579"/>
      <c r="BC97" s="2579"/>
      <c r="BD97" s="2579"/>
      <c r="BE97" s="2579"/>
      <c r="BF97" s="2579"/>
      <c r="BG97" s="2579"/>
      <c r="BH97" s="2579"/>
      <c r="BI97" s="2579"/>
      <c r="BJ97" s="2579"/>
      <c r="BK97" s="2579"/>
      <c r="BL97" s="2579"/>
      <c r="BM97" s="2579"/>
      <c r="BN97" s="2579"/>
      <c r="BO97" s="2579"/>
      <c r="BP97" s="2579"/>
    </row>
    <row r="98" spans="1:68" s="2580" customFormat="1" ht="75" x14ac:dyDescent="0.25">
      <c r="A98" s="2574" t="s">
        <v>38</v>
      </c>
      <c r="B98" s="2074" t="s">
        <v>2153</v>
      </c>
      <c r="C98" s="2576">
        <f>SUM(C99:C101)</f>
        <v>0</v>
      </c>
      <c r="D98" s="2576">
        <f t="shared" ref="D98:AS98" si="126">SUM(D99:D101)</f>
        <v>0</v>
      </c>
      <c r="E98" s="2576">
        <f t="shared" si="126"/>
        <v>0</v>
      </c>
      <c r="F98" s="2576">
        <f t="shared" si="126"/>
        <v>0</v>
      </c>
      <c r="G98" s="2576">
        <f t="shared" si="126"/>
        <v>0</v>
      </c>
      <c r="H98" s="2576">
        <f t="shared" si="126"/>
        <v>0</v>
      </c>
      <c r="I98" s="2576">
        <f t="shared" si="126"/>
        <v>0</v>
      </c>
      <c r="J98" s="2576">
        <f t="shared" si="126"/>
        <v>0</v>
      </c>
      <c r="K98" s="2576">
        <f t="shared" si="126"/>
        <v>0</v>
      </c>
      <c r="L98" s="2576">
        <f t="shared" si="126"/>
        <v>1308240</v>
      </c>
      <c r="M98" s="2576">
        <f t="shared" si="126"/>
        <v>1308240</v>
      </c>
      <c r="N98" s="2576">
        <f t="shared" si="126"/>
        <v>0</v>
      </c>
      <c r="O98" s="2576">
        <f t="shared" si="126"/>
        <v>1308240</v>
      </c>
      <c r="P98" s="2588">
        <f t="shared" si="126"/>
        <v>0</v>
      </c>
      <c r="Q98" s="2588">
        <f t="shared" si="126"/>
        <v>0</v>
      </c>
      <c r="R98" s="2588">
        <f t="shared" si="126"/>
        <v>0</v>
      </c>
      <c r="S98" s="2576">
        <f t="shared" si="126"/>
        <v>14610</v>
      </c>
      <c r="T98" s="2576">
        <f t="shared" si="126"/>
        <v>0</v>
      </c>
      <c r="U98" s="2576">
        <f t="shared" si="126"/>
        <v>0</v>
      </c>
      <c r="V98" s="2576">
        <f t="shared" si="126"/>
        <v>0</v>
      </c>
      <c r="W98" s="2576">
        <f t="shared" si="126"/>
        <v>0</v>
      </c>
      <c r="X98" s="2576">
        <f t="shared" si="126"/>
        <v>0</v>
      </c>
      <c r="Y98" s="2576">
        <f t="shared" si="126"/>
        <v>0</v>
      </c>
      <c r="Z98" s="2576">
        <f t="shared" si="126"/>
        <v>0</v>
      </c>
      <c r="AA98" s="2576">
        <f t="shared" si="126"/>
        <v>0</v>
      </c>
      <c r="AB98" s="2576">
        <f t="shared" si="126"/>
        <v>0</v>
      </c>
      <c r="AC98" s="2576">
        <f t="shared" si="126"/>
        <v>14610</v>
      </c>
      <c r="AD98" s="2576">
        <f t="shared" si="126"/>
        <v>0</v>
      </c>
      <c r="AE98" s="2576">
        <f t="shared" si="126"/>
        <v>0</v>
      </c>
      <c r="AF98" s="2576">
        <f t="shared" si="126"/>
        <v>1293630</v>
      </c>
      <c r="AG98" s="2576">
        <f t="shared" si="126"/>
        <v>0</v>
      </c>
      <c r="AH98" s="2576">
        <f t="shared" si="126"/>
        <v>0</v>
      </c>
      <c r="AI98" s="2576">
        <f t="shared" si="126"/>
        <v>0</v>
      </c>
      <c r="AJ98" s="2576">
        <f t="shared" si="126"/>
        <v>0</v>
      </c>
      <c r="AK98" s="2576">
        <f t="shared" si="126"/>
        <v>0</v>
      </c>
      <c r="AL98" s="2576">
        <f t="shared" si="126"/>
        <v>0</v>
      </c>
      <c r="AM98" s="2576">
        <f t="shared" si="126"/>
        <v>0</v>
      </c>
      <c r="AN98" s="2576">
        <f t="shared" si="126"/>
        <v>0</v>
      </c>
      <c r="AO98" s="2576">
        <f t="shared" si="126"/>
        <v>0</v>
      </c>
      <c r="AP98" s="2576">
        <f t="shared" si="126"/>
        <v>0</v>
      </c>
      <c r="AQ98" s="2576">
        <f t="shared" si="126"/>
        <v>0</v>
      </c>
      <c r="AR98" s="2576">
        <f t="shared" si="126"/>
        <v>0</v>
      </c>
      <c r="AS98" s="2576">
        <f t="shared" si="126"/>
        <v>0</v>
      </c>
      <c r="AT98" s="2591"/>
      <c r="AU98" s="2591">
        <f t="shared" ref="AU98:BA98" si="127">AU99+AU100</f>
        <v>0</v>
      </c>
      <c r="AV98" s="2591">
        <f t="shared" si="127"/>
        <v>0</v>
      </c>
      <c r="AW98" s="2591">
        <f t="shared" si="127"/>
        <v>0</v>
      </c>
      <c r="AX98" s="2591">
        <f t="shared" si="127"/>
        <v>0</v>
      </c>
      <c r="AY98" s="2591">
        <f t="shared" si="127"/>
        <v>0</v>
      </c>
      <c r="AZ98" s="2591">
        <f t="shared" si="127"/>
        <v>0</v>
      </c>
      <c r="BA98" s="2591">
        <f t="shared" si="127"/>
        <v>0</v>
      </c>
      <c r="BB98" s="2579"/>
      <c r="BC98" s="2579"/>
      <c r="BD98" s="2579"/>
      <c r="BE98" s="2579"/>
      <c r="BF98" s="2579"/>
      <c r="BG98" s="2579"/>
      <c r="BH98" s="2579"/>
      <c r="BI98" s="2579"/>
      <c r="BJ98" s="2579"/>
      <c r="BK98" s="2579"/>
      <c r="BL98" s="2579"/>
      <c r="BM98" s="2579"/>
      <c r="BN98" s="2579"/>
      <c r="BO98" s="2579"/>
      <c r="BP98" s="2579"/>
    </row>
    <row r="99" spans="1:68" s="2580" customFormat="1" ht="15" x14ac:dyDescent="0.25">
      <c r="A99" s="2574" t="s">
        <v>23</v>
      </c>
      <c r="B99" s="2575" t="s">
        <v>1118</v>
      </c>
      <c r="C99" s="2577">
        <f>J99+K99</f>
        <v>0</v>
      </c>
      <c r="D99" s="2592"/>
      <c r="E99" s="2592"/>
      <c r="F99" s="2577"/>
      <c r="G99" s="2577"/>
      <c r="H99" s="2577"/>
      <c r="I99" s="2577"/>
      <c r="J99" s="2577"/>
      <c r="K99" s="2577"/>
      <c r="L99" s="2577">
        <f>M99+P99</f>
        <v>1268240</v>
      </c>
      <c r="M99" s="2577">
        <f>N99+O99</f>
        <v>1268240</v>
      </c>
      <c r="N99" s="2592"/>
      <c r="O99" s="2577">
        <v>1268240</v>
      </c>
      <c r="P99" s="2578"/>
      <c r="Q99" s="2578"/>
      <c r="R99" s="2578"/>
      <c r="S99" s="2577">
        <f>SUM(T99:AC99)</f>
        <v>13879.5</v>
      </c>
      <c r="T99" s="2592"/>
      <c r="U99" s="2592"/>
      <c r="V99" s="2577">
        <f>W99+Z99</f>
        <v>0</v>
      </c>
      <c r="W99" s="2577">
        <f>X99+Y99</f>
        <v>0</v>
      </c>
      <c r="X99" s="2592"/>
      <c r="Y99" s="2577"/>
      <c r="Z99" s="2588">
        <f>AG99+AH99</f>
        <v>0</v>
      </c>
      <c r="AA99" s="2578"/>
      <c r="AB99" s="2578"/>
      <c r="AC99" s="2577">
        <v>13879.5</v>
      </c>
      <c r="AD99" s="2578"/>
      <c r="AE99" s="2578"/>
      <c r="AF99" s="2578">
        <f>L99-S99</f>
        <v>1254360.5</v>
      </c>
      <c r="AG99" s="2578"/>
      <c r="AH99" s="2578"/>
      <c r="AI99" s="2578"/>
      <c r="AJ99" s="2577"/>
      <c r="AK99" s="2577"/>
      <c r="AL99" s="2577"/>
      <c r="AM99" s="2577">
        <v>0</v>
      </c>
      <c r="AN99" s="2576"/>
      <c r="AO99" s="2577"/>
      <c r="AP99" s="2577"/>
      <c r="AQ99" s="2577"/>
      <c r="AR99" s="2577"/>
      <c r="AS99" s="2577"/>
      <c r="AT99" s="2577"/>
      <c r="AU99" s="2577"/>
      <c r="AV99" s="2577"/>
      <c r="AW99" s="2577"/>
      <c r="AX99" s="2577"/>
      <c r="AY99" s="2577"/>
      <c r="AZ99" s="2577"/>
      <c r="BA99" s="2577"/>
      <c r="BB99" s="2579"/>
      <c r="BC99" s="2579"/>
      <c r="BD99" s="2579"/>
      <c r="BE99" s="2579"/>
      <c r="BF99" s="2579"/>
      <c r="BG99" s="2579"/>
      <c r="BH99" s="2579"/>
      <c r="BI99" s="2579"/>
      <c r="BJ99" s="2579"/>
      <c r="BK99" s="2579"/>
      <c r="BL99" s="2579"/>
      <c r="BM99" s="2579"/>
      <c r="BN99" s="2579"/>
      <c r="BO99" s="2579"/>
      <c r="BP99" s="2579"/>
    </row>
    <row r="100" spans="1:68" s="2580" customFormat="1" ht="15" x14ac:dyDescent="0.25">
      <c r="A100" s="2574" t="s">
        <v>23</v>
      </c>
      <c r="B100" s="2575" t="s">
        <v>1119</v>
      </c>
      <c r="C100" s="2577">
        <f t="shared" ref="C100:C101" si="128">J100+K100</f>
        <v>0</v>
      </c>
      <c r="D100" s="2592"/>
      <c r="E100" s="2592"/>
      <c r="F100" s="2577"/>
      <c r="G100" s="2577"/>
      <c r="H100" s="2577"/>
      <c r="I100" s="2577"/>
      <c r="J100" s="2577"/>
      <c r="K100" s="2577"/>
      <c r="L100" s="2577">
        <f t="shared" ref="L100:L101" si="129">M100+P100</f>
        <v>40000</v>
      </c>
      <c r="M100" s="2577">
        <f>N100+O100</f>
        <v>40000</v>
      </c>
      <c r="N100" s="2592"/>
      <c r="O100" s="2577">
        <v>40000</v>
      </c>
      <c r="P100" s="2578"/>
      <c r="Q100" s="2578"/>
      <c r="R100" s="2578"/>
      <c r="S100" s="2577">
        <f>SUM(T100:AC100)</f>
        <v>730.5</v>
      </c>
      <c r="T100" s="2592"/>
      <c r="U100" s="2592"/>
      <c r="V100" s="2577">
        <f t="shared" ref="V100:V101" si="130">W100+Z100</f>
        <v>0</v>
      </c>
      <c r="W100" s="2577">
        <f t="shared" ref="W100:W101" si="131">X100+Y100</f>
        <v>0</v>
      </c>
      <c r="X100" s="2592"/>
      <c r="Y100" s="2577"/>
      <c r="Z100" s="2588">
        <f>AG100+AH100</f>
        <v>0</v>
      </c>
      <c r="AA100" s="2578"/>
      <c r="AB100" s="2578"/>
      <c r="AC100" s="2577">
        <v>730.5</v>
      </c>
      <c r="AD100" s="2578"/>
      <c r="AE100" s="2578"/>
      <c r="AF100" s="2578">
        <f>L100-S100</f>
        <v>39269.5</v>
      </c>
      <c r="AG100" s="2578"/>
      <c r="AH100" s="2578"/>
      <c r="AI100" s="2578"/>
      <c r="AJ100" s="2577"/>
      <c r="AK100" s="2577"/>
      <c r="AL100" s="2577"/>
      <c r="AM100" s="2577">
        <v>0</v>
      </c>
      <c r="AN100" s="2576"/>
      <c r="AO100" s="2577"/>
      <c r="AP100" s="2577"/>
      <c r="AQ100" s="2577"/>
      <c r="AR100" s="2577"/>
      <c r="AS100" s="2577"/>
      <c r="AT100" s="2577"/>
      <c r="AU100" s="2577"/>
      <c r="AV100" s="2577"/>
      <c r="AW100" s="2577"/>
      <c r="AX100" s="2577"/>
      <c r="AY100" s="2577"/>
      <c r="AZ100" s="2577"/>
      <c r="BA100" s="2577"/>
      <c r="BB100" s="2579"/>
      <c r="BC100" s="2579"/>
      <c r="BD100" s="2579"/>
      <c r="BE100" s="2579"/>
      <c r="BF100" s="2579"/>
      <c r="BG100" s="2579"/>
      <c r="BH100" s="2579"/>
      <c r="BI100" s="2579"/>
      <c r="BJ100" s="2579"/>
      <c r="BK100" s="2579"/>
      <c r="BL100" s="2579"/>
      <c r="BM100" s="2579"/>
      <c r="BN100" s="2579"/>
      <c r="BO100" s="2579"/>
      <c r="BP100" s="2579"/>
    </row>
    <row r="101" spans="1:68" s="2580" customFormat="1" ht="15" x14ac:dyDescent="0.25">
      <c r="A101" s="2574" t="s">
        <v>23</v>
      </c>
      <c r="B101" s="2575" t="s">
        <v>502</v>
      </c>
      <c r="C101" s="2577">
        <f t="shared" si="128"/>
        <v>0</v>
      </c>
      <c r="D101" s="2592"/>
      <c r="E101" s="2592"/>
      <c r="F101" s="2577"/>
      <c r="G101" s="2577"/>
      <c r="H101" s="2577"/>
      <c r="I101" s="2577"/>
      <c r="J101" s="2577"/>
      <c r="K101" s="2577"/>
      <c r="L101" s="2577">
        <f t="shared" si="129"/>
        <v>0</v>
      </c>
      <c r="M101" s="2577">
        <f t="shared" ref="M101" si="132">N101+O101</f>
        <v>0</v>
      </c>
      <c r="N101" s="2592"/>
      <c r="O101" s="2577"/>
      <c r="P101" s="2578"/>
      <c r="Q101" s="2578"/>
      <c r="R101" s="2578"/>
      <c r="S101" s="2577">
        <f t="shared" ref="S101" si="133">SUM(T101:AC101)</f>
        <v>0</v>
      </c>
      <c r="T101" s="2592"/>
      <c r="U101" s="2592"/>
      <c r="V101" s="2577">
        <f t="shared" si="130"/>
        <v>0</v>
      </c>
      <c r="W101" s="2577">
        <f t="shared" si="131"/>
        <v>0</v>
      </c>
      <c r="X101" s="2592"/>
      <c r="Y101" s="2577"/>
      <c r="Z101" s="2578"/>
      <c r="AA101" s="2578"/>
      <c r="AB101" s="2578"/>
      <c r="AC101" s="2577"/>
      <c r="AD101" s="2578"/>
      <c r="AE101" s="2578"/>
      <c r="AF101" s="2578"/>
      <c r="AG101" s="2578"/>
      <c r="AH101" s="2578"/>
      <c r="AI101" s="2578"/>
      <c r="AJ101" s="2577"/>
      <c r="AK101" s="2577"/>
      <c r="AL101" s="2577"/>
      <c r="AM101" s="2577"/>
      <c r="AN101" s="2577"/>
      <c r="AO101" s="2577"/>
      <c r="AP101" s="2577"/>
      <c r="AQ101" s="2577"/>
      <c r="AR101" s="2577"/>
      <c r="AS101" s="2577"/>
      <c r="AT101" s="2577"/>
      <c r="AU101" s="2577"/>
      <c r="AV101" s="2577"/>
      <c r="AW101" s="2577"/>
      <c r="AX101" s="2577"/>
      <c r="AY101" s="2577"/>
      <c r="AZ101" s="2577"/>
      <c r="BA101" s="2577"/>
      <c r="BB101" s="2579"/>
      <c r="BC101" s="2579"/>
      <c r="BD101" s="2579"/>
      <c r="BE101" s="2579"/>
      <c r="BF101" s="2579"/>
      <c r="BG101" s="2579"/>
      <c r="BH101" s="2579"/>
      <c r="BI101" s="2579"/>
      <c r="BJ101" s="2579"/>
      <c r="BK101" s="2579"/>
      <c r="BL101" s="2579"/>
      <c r="BM101" s="2579"/>
      <c r="BN101" s="2579"/>
      <c r="BO101" s="2579"/>
      <c r="BP101" s="2579"/>
    </row>
    <row r="102" spans="1:68" s="2580" customFormat="1" ht="60" x14ac:dyDescent="0.25">
      <c r="A102" s="2574" t="s">
        <v>39</v>
      </c>
      <c r="B102" s="2607" t="s">
        <v>2154</v>
      </c>
      <c r="C102" s="2576">
        <f>SUM(C103:C105)</f>
        <v>997.04</v>
      </c>
      <c r="D102" s="2576">
        <f t="shared" ref="D102:AR102" si="134">SUM(D103:D105)</f>
        <v>0</v>
      </c>
      <c r="E102" s="2576">
        <f t="shared" si="134"/>
        <v>0</v>
      </c>
      <c r="F102" s="2576">
        <f t="shared" si="134"/>
        <v>0</v>
      </c>
      <c r="G102" s="2576">
        <f t="shared" si="134"/>
        <v>0</v>
      </c>
      <c r="H102" s="2576">
        <f t="shared" si="134"/>
        <v>0</v>
      </c>
      <c r="I102" s="2576">
        <f t="shared" si="134"/>
        <v>0</v>
      </c>
      <c r="J102" s="2576">
        <f t="shared" si="134"/>
        <v>0</v>
      </c>
      <c r="K102" s="2576">
        <f t="shared" si="134"/>
        <v>997.04</v>
      </c>
      <c r="L102" s="2576">
        <f t="shared" si="134"/>
        <v>5000</v>
      </c>
      <c r="M102" s="2576">
        <f t="shared" si="134"/>
        <v>5000</v>
      </c>
      <c r="N102" s="2576">
        <f t="shared" si="134"/>
        <v>0</v>
      </c>
      <c r="O102" s="2576">
        <f t="shared" si="134"/>
        <v>5000</v>
      </c>
      <c r="P102" s="2588">
        <f t="shared" si="134"/>
        <v>0</v>
      </c>
      <c r="Q102" s="2588">
        <f t="shared" si="134"/>
        <v>0</v>
      </c>
      <c r="R102" s="2588">
        <f t="shared" si="134"/>
        <v>0</v>
      </c>
      <c r="S102" s="2576">
        <f t="shared" si="134"/>
        <v>0</v>
      </c>
      <c r="T102" s="2576">
        <f t="shared" si="134"/>
        <v>0</v>
      </c>
      <c r="U102" s="2576">
        <f t="shared" si="134"/>
        <v>0</v>
      </c>
      <c r="V102" s="2576">
        <f t="shared" si="134"/>
        <v>0</v>
      </c>
      <c r="W102" s="2576">
        <f t="shared" si="134"/>
        <v>0</v>
      </c>
      <c r="X102" s="2576">
        <f t="shared" si="134"/>
        <v>0</v>
      </c>
      <c r="Y102" s="2576">
        <f t="shared" si="134"/>
        <v>0</v>
      </c>
      <c r="Z102" s="2576">
        <f t="shared" si="134"/>
        <v>0</v>
      </c>
      <c r="AA102" s="2576">
        <f t="shared" si="134"/>
        <v>0</v>
      </c>
      <c r="AB102" s="2576">
        <f t="shared" si="134"/>
        <v>0</v>
      </c>
      <c r="AC102" s="2576">
        <f t="shared" si="134"/>
        <v>0</v>
      </c>
      <c r="AD102" s="2576">
        <f t="shared" si="134"/>
        <v>0</v>
      </c>
      <c r="AE102" s="2576">
        <f t="shared" si="134"/>
        <v>0</v>
      </c>
      <c r="AF102" s="2576">
        <f t="shared" si="134"/>
        <v>0</v>
      </c>
      <c r="AG102" s="2576">
        <f t="shared" si="134"/>
        <v>0</v>
      </c>
      <c r="AH102" s="2576">
        <f t="shared" si="134"/>
        <v>0</v>
      </c>
      <c r="AI102" s="2576">
        <f t="shared" si="134"/>
        <v>0</v>
      </c>
      <c r="AJ102" s="2576">
        <f t="shared" si="134"/>
        <v>0</v>
      </c>
      <c r="AK102" s="2576">
        <f t="shared" si="134"/>
        <v>0</v>
      </c>
      <c r="AL102" s="2576">
        <f t="shared" si="134"/>
        <v>0</v>
      </c>
      <c r="AM102" s="2576">
        <f t="shared" si="134"/>
        <v>0</v>
      </c>
      <c r="AN102" s="2576">
        <f t="shared" si="134"/>
        <v>0</v>
      </c>
      <c r="AO102" s="2576">
        <f t="shared" si="134"/>
        <v>0</v>
      </c>
      <c r="AP102" s="2576">
        <f t="shared" si="134"/>
        <v>0</v>
      </c>
      <c r="AQ102" s="2576">
        <f t="shared" si="134"/>
        <v>0</v>
      </c>
      <c r="AR102" s="2576">
        <f t="shared" si="134"/>
        <v>5997.04</v>
      </c>
      <c r="AS102" s="2591">
        <f t="shared" ref="AS102" si="135">AS103+AS104</f>
        <v>0</v>
      </c>
      <c r="AT102" s="2579"/>
      <c r="AU102" s="2579"/>
      <c r="AV102" s="2579"/>
      <c r="AW102" s="2579"/>
      <c r="AX102" s="2579"/>
      <c r="AY102" s="2579"/>
      <c r="AZ102" s="2579"/>
      <c r="BA102" s="2579"/>
      <c r="BB102" s="2579"/>
      <c r="BC102" s="2579"/>
      <c r="BD102" s="2579"/>
      <c r="BE102" s="2579"/>
      <c r="BF102" s="2579"/>
      <c r="BG102" s="2579"/>
      <c r="BH102" s="2579"/>
      <c r="BI102" s="2579"/>
      <c r="BJ102" s="2579"/>
      <c r="BK102" s="2579"/>
      <c r="BL102" s="2579"/>
      <c r="BM102" s="2579"/>
      <c r="BN102" s="2579"/>
      <c r="BO102" s="2579"/>
      <c r="BP102" s="2579"/>
    </row>
    <row r="103" spans="1:68" s="2580" customFormat="1" ht="15" x14ac:dyDescent="0.25">
      <c r="A103" s="2574" t="s">
        <v>23</v>
      </c>
      <c r="B103" s="2575" t="s">
        <v>1118</v>
      </c>
      <c r="C103" s="2577">
        <f>J103+K103</f>
        <v>997.04</v>
      </c>
      <c r="D103" s="2592"/>
      <c r="E103" s="2592"/>
      <c r="F103" s="2577"/>
      <c r="G103" s="2577"/>
      <c r="H103" s="2577"/>
      <c r="I103" s="2577"/>
      <c r="J103" s="2577"/>
      <c r="K103" s="2577">
        <v>997.04</v>
      </c>
      <c r="L103" s="2577">
        <f>M103+P103</f>
        <v>5000</v>
      </c>
      <c r="M103" s="2577">
        <f>N103+O103</f>
        <v>5000</v>
      </c>
      <c r="N103" s="2592"/>
      <c r="O103" s="2577">
        <v>5000</v>
      </c>
      <c r="P103" s="2578"/>
      <c r="Q103" s="2578"/>
      <c r="R103" s="2578"/>
      <c r="S103" s="2577">
        <f>SUM(T103:AC103)</f>
        <v>0</v>
      </c>
      <c r="T103" s="2592"/>
      <c r="U103" s="2592"/>
      <c r="V103" s="2577">
        <f>W103+Z103</f>
        <v>0</v>
      </c>
      <c r="W103" s="2577">
        <f>X103+Y103</f>
        <v>0</v>
      </c>
      <c r="X103" s="2592"/>
      <c r="Y103" s="2577"/>
      <c r="Z103" s="2588">
        <f>AG103+AH103</f>
        <v>0</v>
      </c>
      <c r="AA103" s="2578"/>
      <c r="AB103" s="2578"/>
      <c r="AC103" s="2577"/>
      <c r="AD103" s="2578"/>
      <c r="AE103" s="2578"/>
      <c r="AF103" s="2578"/>
      <c r="AG103" s="2578"/>
      <c r="AH103" s="2578"/>
      <c r="AI103" s="2578"/>
      <c r="AJ103" s="2577"/>
      <c r="AK103" s="2577"/>
      <c r="AL103" s="2577"/>
      <c r="AM103" s="2577">
        <v>0</v>
      </c>
      <c r="AN103" s="2576"/>
      <c r="AO103" s="2577"/>
      <c r="AP103" s="2577">
        <f>V103-AC103</f>
        <v>0</v>
      </c>
      <c r="AQ103" s="2577"/>
      <c r="AR103" s="2577">
        <f>C103+L103</f>
        <v>5997.04</v>
      </c>
      <c r="AS103" s="2577"/>
      <c r="AT103" s="2579"/>
      <c r="AU103" s="2579"/>
      <c r="AV103" s="2579"/>
      <c r="AW103" s="2579"/>
      <c r="AX103" s="2579"/>
      <c r="AY103" s="2579"/>
      <c r="AZ103" s="2579"/>
      <c r="BA103" s="2579"/>
      <c r="BB103" s="2579"/>
      <c r="BC103" s="2579"/>
      <c r="BD103" s="2579"/>
      <c r="BE103" s="2579"/>
      <c r="BF103" s="2579"/>
      <c r="BG103" s="2579"/>
      <c r="BH103" s="2579"/>
      <c r="BI103" s="2579"/>
      <c r="BJ103" s="2579"/>
      <c r="BK103" s="2579"/>
      <c r="BL103" s="2579"/>
      <c r="BM103" s="2579"/>
      <c r="BN103" s="2579"/>
      <c r="BO103" s="2579"/>
      <c r="BP103" s="2579"/>
    </row>
    <row r="104" spans="1:68" s="2580" customFormat="1" ht="15" x14ac:dyDescent="0.25">
      <c r="A104" s="2574" t="s">
        <v>23</v>
      </c>
      <c r="B104" s="2575" t="s">
        <v>1119</v>
      </c>
      <c r="C104" s="2577">
        <f t="shared" ref="C104:C105" si="136">J104+K104</f>
        <v>0</v>
      </c>
      <c r="D104" s="2592"/>
      <c r="E104" s="2592"/>
      <c r="F104" s="2577"/>
      <c r="G104" s="2577"/>
      <c r="H104" s="2577"/>
      <c r="I104" s="2577"/>
      <c r="J104" s="2577"/>
      <c r="K104" s="2577"/>
      <c r="L104" s="2577">
        <f t="shared" ref="L104:L105" si="137">M104+P104</f>
        <v>0</v>
      </c>
      <c r="M104" s="2577">
        <f t="shared" ref="M104:M105" si="138">N104+O104</f>
        <v>0</v>
      </c>
      <c r="N104" s="2592"/>
      <c r="O104" s="2577"/>
      <c r="P104" s="2578"/>
      <c r="Q104" s="2578"/>
      <c r="R104" s="2578"/>
      <c r="S104" s="2577">
        <f t="shared" ref="S104:S105" si="139">SUM(T104:AC104)</f>
        <v>0</v>
      </c>
      <c r="T104" s="2592"/>
      <c r="U104" s="2592"/>
      <c r="V104" s="2577">
        <f t="shared" ref="V104:V105" si="140">W104+Z104</f>
        <v>0</v>
      </c>
      <c r="W104" s="2577">
        <f t="shared" ref="W104:W105" si="141">X104+Y104</f>
        <v>0</v>
      </c>
      <c r="X104" s="2592"/>
      <c r="Y104" s="2577"/>
      <c r="Z104" s="2588">
        <f>AG104+AH104</f>
        <v>0</v>
      </c>
      <c r="AA104" s="2578"/>
      <c r="AB104" s="2578"/>
      <c r="AC104" s="2577"/>
      <c r="AD104" s="2578"/>
      <c r="AE104" s="2578"/>
      <c r="AF104" s="2578"/>
      <c r="AG104" s="2578"/>
      <c r="AH104" s="2578"/>
      <c r="AI104" s="2578"/>
      <c r="AJ104" s="2577"/>
      <c r="AK104" s="2577"/>
      <c r="AL104" s="2577"/>
      <c r="AM104" s="2577">
        <v>0</v>
      </c>
      <c r="AN104" s="2576"/>
      <c r="AO104" s="2577"/>
      <c r="AP104" s="2577">
        <f>V104-AC104</f>
        <v>0</v>
      </c>
      <c r="AQ104" s="2577"/>
      <c r="AR104" s="2577">
        <f>C104+L104</f>
        <v>0</v>
      </c>
      <c r="AS104" s="2577"/>
      <c r="AT104" s="2579"/>
      <c r="AU104" s="2579"/>
      <c r="AV104" s="2579"/>
      <c r="AW104" s="2579"/>
      <c r="AX104" s="2579"/>
      <c r="AY104" s="2579"/>
      <c r="AZ104" s="2579"/>
      <c r="BA104" s="2579"/>
      <c r="BB104" s="2579"/>
      <c r="BC104" s="2579"/>
      <c r="BD104" s="2579"/>
      <c r="BE104" s="2579"/>
      <c r="BF104" s="2579"/>
      <c r="BG104" s="2579"/>
      <c r="BH104" s="2579"/>
      <c r="BI104" s="2579"/>
      <c r="BJ104" s="2579"/>
      <c r="BK104" s="2579"/>
      <c r="BL104" s="2579"/>
      <c r="BM104" s="2579"/>
      <c r="BN104" s="2579"/>
      <c r="BO104" s="2579"/>
      <c r="BP104" s="2579"/>
    </row>
    <row r="105" spans="1:68" s="2580" customFormat="1" ht="15" x14ac:dyDescent="0.25">
      <c r="A105" s="2574" t="s">
        <v>23</v>
      </c>
      <c r="B105" s="2575" t="s">
        <v>502</v>
      </c>
      <c r="C105" s="2577">
        <f t="shared" si="136"/>
        <v>0</v>
      </c>
      <c r="D105" s="2592"/>
      <c r="E105" s="2592"/>
      <c r="F105" s="2577"/>
      <c r="G105" s="2577"/>
      <c r="H105" s="2577"/>
      <c r="I105" s="2577"/>
      <c r="J105" s="2577"/>
      <c r="K105" s="2577"/>
      <c r="L105" s="2577">
        <f t="shared" si="137"/>
        <v>0</v>
      </c>
      <c r="M105" s="2577">
        <f t="shared" si="138"/>
        <v>0</v>
      </c>
      <c r="N105" s="2592"/>
      <c r="O105" s="2577"/>
      <c r="P105" s="2578"/>
      <c r="Q105" s="2578"/>
      <c r="R105" s="2578"/>
      <c r="S105" s="2577">
        <f t="shared" si="139"/>
        <v>0</v>
      </c>
      <c r="T105" s="2592"/>
      <c r="U105" s="2592"/>
      <c r="V105" s="2577">
        <f t="shared" si="140"/>
        <v>0</v>
      </c>
      <c r="W105" s="2577">
        <f t="shared" si="141"/>
        <v>0</v>
      </c>
      <c r="X105" s="2592"/>
      <c r="Y105" s="2577"/>
      <c r="Z105" s="2578"/>
      <c r="AA105" s="2578"/>
      <c r="AB105" s="2578"/>
      <c r="AC105" s="2577"/>
      <c r="AD105" s="2578"/>
      <c r="AE105" s="2578"/>
      <c r="AF105" s="2578"/>
      <c r="AG105" s="2578"/>
      <c r="AH105" s="2578"/>
      <c r="AI105" s="2578"/>
      <c r="AJ105" s="2577"/>
      <c r="AK105" s="2577"/>
      <c r="AL105" s="2577"/>
      <c r="AM105" s="2577"/>
      <c r="AN105" s="2577"/>
      <c r="AO105" s="2577"/>
      <c r="AP105" s="2577"/>
      <c r="AQ105" s="2577"/>
      <c r="AR105" s="2577"/>
      <c r="AS105" s="2577"/>
      <c r="AT105" s="2579"/>
      <c r="AU105" s="2579"/>
      <c r="AV105" s="2579"/>
      <c r="AW105" s="2579"/>
      <c r="AX105" s="2579"/>
      <c r="AY105" s="2579"/>
      <c r="AZ105" s="2579"/>
      <c r="BA105" s="2579"/>
      <c r="BB105" s="2579"/>
      <c r="BC105" s="2579"/>
      <c r="BD105" s="2579"/>
      <c r="BE105" s="2579"/>
      <c r="BF105" s="2579"/>
      <c r="BG105" s="2579"/>
      <c r="BH105" s="2579"/>
      <c r="BI105" s="2579"/>
      <c r="BJ105" s="2579"/>
      <c r="BK105" s="2579"/>
      <c r="BL105" s="2579"/>
      <c r="BM105" s="2579"/>
      <c r="BN105" s="2579"/>
      <c r="BO105" s="2579"/>
      <c r="BP105" s="2579"/>
    </row>
    <row r="106" spans="1:68" s="2569" customFormat="1" ht="57" x14ac:dyDescent="0.25">
      <c r="A106" s="2564">
        <v>2</v>
      </c>
      <c r="B106" s="2571" t="s">
        <v>1423</v>
      </c>
      <c r="C106" s="2565">
        <f>SUM(C107:I109)</f>
        <v>0</v>
      </c>
      <c r="D106" s="2566"/>
      <c r="E106" s="2566"/>
      <c r="F106" s="2566"/>
      <c r="G106" s="2566"/>
      <c r="H106" s="2566"/>
      <c r="I106" s="2566"/>
      <c r="J106" s="2566"/>
      <c r="K106" s="2566"/>
      <c r="L106" s="2591">
        <f>L107+L108</f>
        <v>51000</v>
      </c>
      <c r="M106" s="2591">
        <f>M107+M108</f>
        <v>51000</v>
      </c>
      <c r="N106" s="2566"/>
      <c r="O106" s="2591">
        <f>O107+O108</f>
        <v>51000</v>
      </c>
      <c r="P106" s="2593">
        <f>P107+P108</f>
        <v>0</v>
      </c>
      <c r="Q106" s="2594"/>
      <c r="R106" s="2593">
        <f>R107+R108</f>
        <v>0</v>
      </c>
      <c r="S106" s="2591">
        <f>S107+S108</f>
        <v>51000</v>
      </c>
      <c r="T106" s="2593">
        <f t="shared" ref="T106:AR106" si="142">T107+T108</f>
        <v>0</v>
      </c>
      <c r="U106" s="2593">
        <f t="shared" si="142"/>
        <v>0</v>
      </c>
      <c r="V106" s="2593">
        <f t="shared" si="142"/>
        <v>0</v>
      </c>
      <c r="W106" s="2593">
        <f t="shared" si="142"/>
        <v>0</v>
      </c>
      <c r="X106" s="2593">
        <f t="shared" si="142"/>
        <v>0</v>
      </c>
      <c r="Y106" s="2593">
        <f t="shared" si="142"/>
        <v>0</v>
      </c>
      <c r="Z106" s="2591">
        <f t="shared" si="142"/>
        <v>0</v>
      </c>
      <c r="AA106" s="2591">
        <f t="shared" si="142"/>
        <v>0</v>
      </c>
      <c r="AB106" s="2591">
        <f t="shared" si="142"/>
        <v>0</v>
      </c>
      <c r="AC106" s="2591">
        <f t="shared" si="142"/>
        <v>51000</v>
      </c>
      <c r="AD106" s="2591">
        <f t="shared" si="142"/>
        <v>0</v>
      </c>
      <c r="AE106" s="2591">
        <f t="shared" si="142"/>
        <v>0</v>
      </c>
      <c r="AF106" s="2591">
        <f t="shared" si="142"/>
        <v>0</v>
      </c>
      <c r="AG106" s="2591">
        <f t="shared" si="142"/>
        <v>0</v>
      </c>
      <c r="AH106" s="2591">
        <f t="shared" si="142"/>
        <v>0</v>
      </c>
      <c r="AI106" s="2591">
        <f t="shared" si="142"/>
        <v>0</v>
      </c>
      <c r="AJ106" s="2591">
        <f t="shared" si="142"/>
        <v>0</v>
      </c>
      <c r="AK106" s="2591">
        <f t="shared" si="142"/>
        <v>0</v>
      </c>
      <c r="AL106" s="2591">
        <f t="shared" si="142"/>
        <v>0</v>
      </c>
      <c r="AM106" s="2591">
        <f t="shared" si="142"/>
        <v>0</v>
      </c>
      <c r="AN106" s="2591">
        <f t="shared" si="142"/>
        <v>0</v>
      </c>
      <c r="AO106" s="2591">
        <f t="shared" si="142"/>
        <v>0</v>
      </c>
      <c r="AP106" s="2591">
        <f t="shared" si="142"/>
        <v>0</v>
      </c>
      <c r="AQ106" s="2591">
        <f t="shared" si="142"/>
        <v>0</v>
      </c>
      <c r="AR106" s="2591">
        <f t="shared" si="142"/>
        <v>0</v>
      </c>
      <c r="AS106" s="2566"/>
      <c r="AT106" s="2568"/>
      <c r="AU106" s="2568"/>
      <c r="AV106" s="2568"/>
      <c r="AW106" s="2568"/>
      <c r="AX106" s="2568"/>
      <c r="AY106" s="2568"/>
      <c r="AZ106" s="2568"/>
      <c r="BA106" s="2568"/>
      <c r="BB106" s="2568"/>
      <c r="BC106" s="2568"/>
      <c r="BD106" s="2568"/>
      <c r="BE106" s="2568"/>
      <c r="BF106" s="2568"/>
      <c r="BG106" s="2568"/>
      <c r="BH106" s="2568"/>
      <c r="BI106" s="2568"/>
      <c r="BJ106" s="2568"/>
      <c r="BK106" s="2568"/>
      <c r="BL106" s="2568"/>
      <c r="BM106" s="2568"/>
      <c r="BN106" s="2568"/>
      <c r="BO106" s="2568"/>
      <c r="BP106" s="2568"/>
    </row>
    <row r="107" spans="1:68" s="2580" customFormat="1" ht="21.75" customHeight="1" x14ac:dyDescent="0.25">
      <c r="A107" s="2574" t="s">
        <v>23</v>
      </c>
      <c r="B107" s="2575" t="s">
        <v>1118</v>
      </c>
      <c r="C107" s="2576">
        <f t="shared" si="105"/>
        <v>0</v>
      </c>
      <c r="D107" s="2577"/>
      <c r="E107" s="2577"/>
      <c r="F107" s="2577"/>
      <c r="G107" s="2577"/>
      <c r="H107" s="2577"/>
      <c r="I107" s="2577"/>
      <c r="J107" s="2577"/>
      <c r="K107" s="2577"/>
      <c r="L107" s="2577">
        <f>M107+P107</f>
        <v>49000</v>
      </c>
      <c r="M107" s="2577">
        <f>N107+O107</f>
        <v>49000</v>
      </c>
      <c r="N107" s="2577"/>
      <c r="O107" s="2577">
        <v>49000</v>
      </c>
      <c r="P107" s="2588">
        <f>W107+X107</f>
        <v>0</v>
      </c>
      <c r="Q107" s="2578"/>
      <c r="R107" s="2578"/>
      <c r="S107" s="2577">
        <f>SUM(Z107:AC107)</f>
        <v>49000</v>
      </c>
      <c r="T107" s="2578"/>
      <c r="U107" s="2578"/>
      <c r="V107" s="2578"/>
      <c r="W107" s="2578"/>
      <c r="X107" s="2578"/>
      <c r="Y107" s="2578"/>
      <c r="Z107" s="2577"/>
      <c r="AA107" s="2577"/>
      <c r="AB107" s="2577"/>
      <c r="AC107" s="2577">
        <v>49000</v>
      </c>
      <c r="AD107" s="2576">
        <f>AE107+AF107</f>
        <v>0</v>
      </c>
      <c r="AE107" s="2577"/>
      <c r="AF107" s="2577">
        <f>L107-S107</f>
        <v>0</v>
      </c>
      <c r="AG107" s="2577"/>
      <c r="AH107" s="2577"/>
      <c r="AI107" s="2577"/>
      <c r="AJ107" s="2577"/>
      <c r="AK107" s="2577"/>
      <c r="AL107" s="2577"/>
      <c r="AM107" s="2577"/>
      <c r="AN107" s="2577"/>
      <c r="AO107" s="2577"/>
      <c r="AP107" s="2577"/>
      <c r="AQ107" s="2577"/>
      <c r="AR107" s="2577"/>
      <c r="AS107" s="2577"/>
      <c r="AT107" s="2579"/>
      <c r="AU107" s="2579"/>
      <c r="AV107" s="2579"/>
      <c r="AW107" s="2579"/>
      <c r="AX107" s="2579"/>
      <c r="AY107" s="2579"/>
      <c r="AZ107" s="2579"/>
      <c r="BA107" s="2579"/>
      <c r="BB107" s="2579"/>
      <c r="BC107" s="2579"/>
      <c r="BD107" s="2579"/>
      <c r="BE107" s="2579"/>
      <c r="BF107" s="2579"/>
      <c r="BG107" s="2579"/>
      <c r="BH107" s="2579"/>
      <c r="BI107" s="2579"/>
      <c r="BJ107" s="2579"/>
      <c r="BK107" s="2579"/>
      <c r="BL107" s="2579"/>
      <c r="BM107" s="2579"/>
      <c r="BN107" s="2579"/>
      <c r="BO107" s="2579"/>
      <c r="BP107" s="2579"/>
    </row>
    <row r="108" spans="1:68" s="2580" customFormat="1" ht="21.75" customHeight="1" x14ac:dyDescent="0.25">
      <c r="A108" s="2574" t="s">
        <v>23</v>
      </c>
      <c r="B108" s="2575" t="s">
        <v>1119</v>
      </c>
      <c r="C108" s="2576">
        <f t="shared" si="105"/>
        <v>0</v>
      </c>
      <c r="D108" s="2577"/>
      <c r="E108" s="2577"/>
      <c r="F108" s="2577"/>
      <c r="G108" s="2577"/>
      <c r="H108" s="2577"/>
      <c r="I108" s="2577"/>
      <c r="J108" s="2577"/>
      <c r="K108" s="2577"/>
      <c r="L108" s="2577">
        <f t="shared" ref="L108:L109" si="143">M108+P108</f>
        <v>2000</v>
      </c>
      <c r="M108" s="2577">
        <f t="shared" ref="M108:M109" si="144">N108+O108</f>
        <v>2000</v>
      </c>
      <c r="N108" s="2577"/>
      <c r="O108" s="2577">
        <v>2000</v>
      </c>
      <c r="P108" s="2588">
        <f>W108+X108</f>
        <v>0</v>
      </c>
      <c r="Q108" s="2578"/>
      <c r="R108" s="2578"/>
      <c r="S108" s="2577">
        <f>SUM(Z108:AC108)</f>
        <v>2000</v>
      </c>
      <c r="T108" s="2578"/>
      <c r="U108" s="2578"/>
      <c r="V108" s="2578"/>
      <c r="W108" s="2578"/>
      <c r="X108" s="2578"/>
      <c r="Y108" s="2578"/>
      <c r="Z108" s="2577"/>
      <c r="AA108" s="2577"/>
      <c r="AB108" s="2577"/>
      <c r="AC108" s="2577">
        <v>2000</v>
      </c>
      <c r="AD108" s="2576">
        <f>AE108+AF108</f>
        <v>0</v>
      </c>
      <c r="AE108" s="2577"/>
      <c r="AF108" s="2577">
        <f>L108-S108</f>
        <v>0</v>
      </c>
      <c r="AG108" s="2577"/>
      <c r="AH108" s="2577"/>
      <c r="AI108" s="2577"/>
      <c r="AJ108" s="2577"/>
      <c r="AK108" s="2577"/>
      <c r="AL108" s="2577"/>
      <c r="AM108" s="2577"/>
      <c r="AN108" s="2577"/>
      <c r="AO108" s="2577"/>
      <c r="AP108" s="2577"/>
      <c r="AQ108" s="2577"/>
      <c r="AR108" s="2577"/>
      <c r="AS108" s="2577"/>
      <c r="AT108" s="2579"/>
      <c r="AU108" s="2579"/>
      <c r="AV108" s="2579"/>
      <c r="AW108" s="2579"/>
      <c r="AX108" s="2579"/>
      <c r="AY108" s="2579"/>
      <c r="AZ108" s="2579"/>
      <c r="BA108" s="2579"/>
      <c r="BB108" s="2579"/>
      <c r="BC108" s="2579"/>
      <c r="BD108" s="2579"/>
      <c r="BE108" s="2579"/>
      <c r="BF108" s="2579"/>
      <c r="BG108" s="2579"/>
      <c r="BH108" s="2579"/>
      <c r="BI108" s="2579"/>
      <c r="BJ108" s="2579"/>
      <c r="BK108" s="2579"/>
      <c r="BL108" s="2579"/>
      <c r="BM108" s="2579"/>
      <c r="BN108" s="2579"/>
      <c r="BO108" s="2579"/>
      <c r="BP108" s="2579"/>
    </row>
    <row r="109" spans="1:68" s="2580" customFormat="1" ht="18" customHeight="1" x14ac:dyDescent="0.25">
      <c r="A109" s="2574" t="s">
        <v>23</v>
      </c>
      <c r="B109" s="2575" t="s">
        <v>502</v>
      </c>
      <c r="C109" s="2576">
        <f t="shared" si="105"/>
        <v>0</v>
      </c>
      <c r="D109" s="2577"/>
      <c r="E109" s="2577"/>
      <c r="F109" s="2577"/>
      <c r="G109" s="2577"/>
      <c r="H109" s="2577"/>
      <c r="I109" s="2577"/>
      <c r="J109" s="2577"/>
      <c r="K109" s="2577"/>
      <c r="L109" s="2577">
        <f t="shared" si="143"/>
        <v>0</v>
      </c>
      <c r="M109" s="2577">
        <f t="shared" si="144"/>
        <v>0</v>
      </c>
      <c r="N109" s="2577"/>
      <c r="O109" s="2577"/>
      <c r="P109" s="2578"/>
      <c r="Q109" s="2578"/>
      <c r="R109" s="2578"/>
      <c r="S109" s="2577"/>
      <c r="T109" s="2578"/>
      <c r="U109" s="2578"/>
      <c r="V109" s="2578"/>
      <c r="W109" s="2578"/>
      <c r="X109" s="2578"/>
      <c r="Y109" s="2578"/>
      <c r="Z109" s="2577"/>
      <c r="AA109" s="2577"/>
      <c r="AB109" s="2577"/>
      <c r="AC109" s="2577"/>
      <c r="AD109" s="2577"/>
      <c r="AE109" s="2577"/>
      <c r="AF109" s="2577"/>
      <c r="AG109" s="2577"/>
      <c r="AH109" s="2577"/>
      <c r="AI109" s="2577"/>
      <c r="AJ109" s="2577"/>
      <c r="AK109" s="2577"/>
      <c r="AL109" s="2577"/>
      <c r="AM109" s="2577"/>
      <c r="AN109" s="2577"/>
      <c r="AO109" s="2577"/>
      <c r="AP109" s="2577"/>
      <c r="AQ109" s="2577"/>
      <c r="AR109" s="2577"/>
      <c r="AS109" s="2577"/>
      <c r="AT109" s="2579"/>
      <c r="AU109" s="2579"/>
      <c r="AV109" s="2579"/>
      <c r="AW109" s="2579"/>
      <c r="AX109" s="2579"/>
      <c r="AY109" s="2579"/>
      <c r="AZ109" s="2579"/>
      <c r="BA109" s="2579"/>
      <c r="BB109" s="2579"/>
      <c r="BC109" s="2579"/>
      <c r="BD109" s="2579"/>
      <c r="BE109" s="2579"/>
      <c r="BF109" s="2579"/>
      <c r="BG109" s="2579"/>
      <c r="BH109" s="2579"/>
      <c r="BI109" s="2579"/>
      <c r="BJ109" s="2579"/>
      <c r="BK109" s="2579"/>
      <c r="BL109" s="2579"/>
      <c r="BM109" s="2579"/>
      <c r="BN109" s="2579"/>
      <c r="BO109" s="2579"/>
      <c r="BP109" s="2579"/>
    </row>
    <row r="110" spans="1:68" s="2583" customFormat="1" ht="60" x14ac:dyDescent="0.25">
      <c r="A110" s="2589">
        <v>3</v>
      </c>
      <c r="B110" s="2590" t="s">
        <v>1424</v>
      </c>
      <c r="C110" s="2565">
        <f>SUM(C111:C113)</f>
        <v>0</v>
      </c>
      <c r="D110" s="2592"/>
      <c r="E110" s="2592"/>
      <c r="F110" s="2592"/>
      <c r="G110" s="2592"/>
      <c r="H110" s="2592"/>
      <c r="I110" s="2592"/>
      <c r="J110" s="2592"/>
      <c r="K110" s="2592"/>
      <c r="L110" s="2565">
        <f>SUM(L111:L113)</f>
        <v>22000</v>
      </c>
      <c r="M110" s="2565">
        <f t="shared" ref="M110:AR110" si="145">SUM(M111:M113)</f>
        <v>22000</v>
      </c>
      <c r="N110" s="2565">
        <f t="shared" si="145"/>
        <v>0</v>
      </c>
      <c r="O110" s="2565">
        <f t="shared" si="145"/>
        <v>22000</v>
      </c>
      <c r="P110" s="2565">
        <f t="shared" si="145"/>
        <v>0</v>
      </c>
      <c r="Q110" s="2565">
        <f t="shared" si="145"/>
        <v>0</v>
      </c>
      <c r="R110" s="2565">
        <f t="shared" si="145"/>
        <v>0</v>
      </c>
      <c r="S110" s="2565">
        <f t="shared" si="145"/>
        <v>0</v>
      </c>
      <c r="T110" s="2565">
        <f t="shared" si="145"/>
        <v>0</v>
      </c>
      <c r="U110" s="2565">
        <f t="shared" si="145"/>
        <v>0</v>
      </c>
      <c r="V110" s="2565">
        <f t="shared" si="145"/>
        <v>0</v>
      </c>
      <c r="W110" s="2565">
        <f t="shared" si="145"/>
        <v>0</v>
      </c>
      <c r="X110" s="2565">
        <f t="shared" si="145"/>
        <v>0</v>
      </c>
      <c r="Y110" s="2565">
        <f t="shared" si="145"/>
        <v>0</v>
      </c>
      <c r="Z110" s="2565">
        <f t="shared" si="145"/>
        <v>0</v>
      </c>
      <c r="AA110" s="2565">
        <f t="shared" si="145"/>
        <v>0</v>
      </c>
      <c r="AB110" s="2565">
        <f t="shared" si="145"/>
        <v>0</v>
      </c>
      <c r="AC110" s="2565">
        <f t="shared" si="145"/>
        <v>0</v>
      </c>
      <c r="AD110" s="2565">
        <f t="shared" si="145"/>
        <v>0</v>
      </c>
      <c r="AE110" s="2565">
        <f t="shared" si="145"/>
        <v>0</v>
      </c>
      <c r="AF110" s="2565">
        <f t="shared" si="145"/>
        <v>0</v>
      </c>
      <c r="AG110" s="2565">
        <f t="shared" si="145"/>
        <v>0</v>
      </c>
      <c r="AH110" s="2565">
        <f t="shared" si="145"/>
        <v>0</v>
      </c>
      <c r="AI110" s="2565">
        <f t="shared" si="145"/>
        <v>0</v>
      </c>
      <c r="AJ110" s="2565">
        <f t="shared" si="145"/>
        <v>0</v>
      </c>
      <c r="AK110" s="2565">
        <f t="shared" si="145"/>
        <v>0</v>
      </c>
      <c r="AL110" s="2565">
        <f t="shared" si="145"/>
        <v>0</v>
      </c>
      <c r="AM110" s="2565">
        <f t="shared" si="145"/>
        <v>0</v>
      </c>
      <c r="AN110" s="2565">
        <f t="shared" si="145"/>
        <v>0</v>
      </c>
      <c r="AO110" s="2565">
        <f t="shared" si="145"/>
        <v>0</v>
      </c>
      <c r="AP110" s="2565">
        <f t="shared" si="145"/>
        <v>0</v>
      </c>
      <c r="AQ110" s="2565">
        <f t="shared" si="145"/>
        <v>0</v>
      </c>
      <c r="AR110" s="2565">
        <f t="shared" si="145"/>
        <v>22000</v>
      </c>
      <c r="AS110" s="2592"/>
      <c r="AT110" s="2582"/>
      <c r="AU110" s="2582"/>
      <c r="AV110" s="2582"/>
      <c r="AW110" s="2582"/>
      <c r="AX110" s="2582"/>
      <c r="AY110" s="2582"/>
      <c r="AZ110" s="2582"/>
      <c r="BA110" s="2582"/>
      <c r="BB110" s="2582"/>
      <c r="BC110" s="2582"/>
      <c r="BD110" s="2582"/>
      <c r="BE110" s="2582"/>
      <c r="BF110" s="2582"/>
      <c r="BG110" s="2582"/>
      <c r="BH110" s="2582"/>
      <c r="BI110" s="2582"/>
      <c r="BJ110" s="2582"/>
      <c r="BK110" s="2582"/>
      <c r="BL110" s="2582"/>
      <c r="BM110" s="2582"/>
      <c r="BN110" s="2582"/>
      <c r="BO110" s="2582"/>
      <c r="BP110" s="2582"/>
    </row>
    <row r="111" spans="1:68" s="2583" customFormat="1" ht="15" x14ac:dyDescent="0.25">
      <c r="A111" s="2574" t="s">
        <v>23</v>
      </c>
      <c r="B111" s="2575" t="s">
        <v>1118</v>
      </c>
      <c r="C111" s="2576">
        <f t="shared" si="105"/>
        <v>0</v>
      </c>
      <c r="D111" s="2592"/>
      <c r="E111" s="2592"/>
      <c r="F111" s="2592"/>
      <c r="G111" s="2592"/>
      <c r="H111" s="2592"/>
      <c r="I111" s="2592"/>
      <c r="J111" s="2592"/>
      <c r="K111" s="2592"/>
      <c r="L111" s="2577">
        <f>M111+P111</f>
        <v>21000</v>
      </c>
      <c r="M111" s="2577">
        <f>N111+O111</f>
        <v>21000</v>
      </c>
      <c r="N111" s="2592"/>
      <c r="O111" s="2577">
        <v>21000</v>
      </c>
      <c r="P111" s="2588">
        <f>W111+X111</f>
        <v>0</v>
      </c>
      <c r="Q111" s="2578"/>
      <c r="R111" s="2578"/>
      <c r="S111" s="2577">
        <f>SUM(Z111:AC111)</f>
        <v>0</v>
      </c>
      <c r="T111" s="2578"/>
      <c r="U111" s="2578"/>
      <c r="V111" s="2578"/>
      <c r="W111" s="2578"/>
      <c r="X111" s="2578"/>
      <c r="Y111" s="2578"/>
      <c r="Z111" s="2577"/>
      <c r="AA111" s="2577"/>
      <c r="AB111" s="2577"/>
      <c r="AC111" s="2577"/>
      <c r="AD111" s="2576">
        <f>AE111+AF111</f>
        <v>0</v>
      </c>
      <c r="AE111" s="2577"/>
      <c r="AF111" s="2577"/>
      <c r="AG111" s="2577"/>
      <c r="AH111" s="2577"/>
      <c r="AI111" s="2577"/>
      <c r="AJ111" s="2577"/>
      <c r="AK111" s="2577"/>
      <c r="AL111" s="2577"/>
      <c r="AM111" s="2577"/>
      <c r="AN111" s="2577"/>
      <c r="AO111" s="2577"/>
      <c r="AP111" s="2577"/>
      <c r="AQ111" s="2577"/>
      <c r="AR111" s="2577">
        <f>L111</f>
        <v>21000</v>
      </c>
      <c r="AS111" s="2592"/>
      <c r="AT111" s="2582"/>
      <c r="AU111" s="2582"/>
      <c r="AV111" s="2582"/>
      <c r="AW111" s="2582"/>
      <c r="AX111" s="2582"/>
      <c r="AY111" s="2582"/>
      <c r="AZ111" s="2582"/>
      <c r="BA111" s="2582"/>
      <c r="BB111" s="2582"/>
      <c r="BC111" s="2582"/>
      <c r="BD111" s="2582"/>
      <c r="BE111" s="2582"/>
      <c r="BF111" s="2582"/>
      <c r="BG111" s="2582"/>
      <c r="BH111" s="2582"/>
      <c r="BI111" s="2582"/>
      <c r="BJ111" s="2582"/>
      <c r="BK111" s="2582"/>
      <c r="BL111" s="2582"/>
      <c r="BM111" s="2582"/>
      <c r="BN111" s="2582"/>
      <c r="BO111" s="2582"/>
      <c r="BP111" s="2582"/>
    </row>
    <row r="112" spans="1:68" s="2583" customFormat="1" ht="15" x14ac:dyDescent="0.25">
      <c r="A112" s="2574" t="s">
        <v>23</v>
      </c>
      <c r="B112" s="2575" t="s">
        <v>1119</v>
      </c>
      <c r="C112" s="2576">
        <f t="shared" si="105"/>
        <v>0</v>
      </c>
      <c r="D112" s="2592"/>
      <c r="E112" s="2592"/>
      <c r="F112" s="2592"/>
      <c r="G112" s="2592"/>
      <c r="H112" s="2592"/>
      <c r="I112" s="2592"/>
      <c r="J112" s="2592"/>
      <c r="K112" s="2592"/>
      <c r="L112" s="2577">
        <f t="shared" ref="L112:L113" si="146">M112+P112</f>
        <v>1000</v>
      </c>
      <c r="M112" s="2577">
        <f t="shared" ref="M112:M113" si="147">N112+O112</f>
        <v>1000</v>
      </c>
      <c r="N112" s="2592"/>
      <c r="O112" s="2577">
        <v>1000</v>
      </c>
      <c r="P112" s="2588">
        <f>W112+X112</f>
        <v>0</v>
      </c>
      <c r="Q112" s="2578"/>
      <c r="R112" s="2578"/>
      <c r="S112" s="2577">
        <f>SUM(Z112:AC112)</f>
        <v>0</v>
      </c>
      <c r="T112" s="2578"/>
      <c r="U112" s="2578"/>
      <c r="V112" s="2578"/>
      <c r="W112" s="2578"/>
      <c r="X112" s="2578"/>
      <c r="Y112" s="2578"/>
      <c r="Z112" s="2577"/>
      <c r="AA112" s="2577"/>
      <c r="AB112" s="2577"/>
      <c r="AC112" s="2577"/>
      <c r="AD112" s="2576">
        <f>AE112+AF112</f>
        <v>0</v>
      </c>
      <c r="AE112" s="2577"/>
      <c r="AF112" s="2577"/>
      <c r="AG112" s="2577"/>
      <c r="AH112" s="2577"/>
      <c r="AI112" s="2577"/>
      <c r="AJ112" s="2577"/>
      <c r="AK112" s="2577"/>
      <c r="AL112" s="2577"/>
      <c r="AM112" s="2577"/>
      <c r="AN112" s="2577"/>
      <c r="AO112" s="2577"/>
      <c r="AP112" s="2577"/>
      <c r="AQ112" s="2577"/>
      <c r="AR112" s="2577">
        <f>L112</f>
        <v>1000</v>
      </c>
      <c r="AS112" s="2592"/>
      <c r="AT112" s="2582"/>
      <c r="AU112" s="2582"/>
      <c r="AV112" s="2582"/>
      <c r="AW112" s="2582"/>
      <c r="AX112" s="2582"/>
      <c r="AY112" s="2582"/>
      <c r="AZ112" s="2582"/>
      <c r="BA112" s="2582"/>
      <c r="BB112" s="2582"/>
      <c r="BC112" s="2582"/>
      <c r="BD112" s="2582"/>
      <c r="BE112" s="2582"/>
      <c r="BF112" s="2582"/>
      <c r="BG112" s="2582"/>
      <c r="BH112" s="2582"/>
      <c r="BI112" s="2582"/>
      <c r="BJ112" s="2582"/>
      <c r="BK112" s="2582"/>
      <c r="BL112" s="2582"/>
      <c r="BM112" s="2582"/>
      <c r="BN112" s="2582"/>
      <c r="BO112" s="2582"/>
      <c r="BP112" s="2582"/>
    </row>
    <row r="113" spans="1:68" s="2583" customFormat="1" ht="15" x14ac:dyDescent="0.25">
      <c r="A113" s="2574" t="s">
        <v>23</v>
      </c>
      <c r="B113" s="2575" t="s">
        <v>502</v>
      </c>
      <c r="C113" s="2576">
        <f t="shared" si="105"/>
        <v>0</v>
      </c>
      <c r="D113" s="2592"/>
      <c r="E113" s="2592"/>
      <c r="F113" s="2592"/>
      <c r="G113" s="2592"/>
      <c r="H113" s="2592"/>
      <c r="I113" s="2592"/>
      <c r="J113" s="2592"/>
      <c r="K113" s="2592"/>
      <c r="L113" s="2577">
        <f t="shared" si="146"/>
        <v>0</v>
      </c>
      <c r="M113" s="2577">
        <f t="shared" si="147"/>
        <v>0</v>
      </c>
      <c r="N113" s="2592"/>
      <c r="O113" s="2577"/>
      <c r="P113" s="2578"/>
      <c r="Q113" s="2578"/>
      <c r="R113" s="2578"/>
      <c r="S113" s="2577"/>
      <c r="T113" s="2578"/>
      <c r="U113" s="2578"/>
      <c r="V113" s="2578"/>
      <c r="W113" s="2578"/>
      <c r="X113" s="2578"/>
      <c r="Y113" s="2578"/>
      <c r="Z113" s="2577"/>
      <c r="AA113" s="2577"/>
      <c r="AB113" s="2577"/>
      <c r="AC113" s="2577"/>
      <c r="AD113" s="2577"/>
      <c r="AE113" s="2577"/>
      <c r="AF113" s="2577"/>
      <c r="AG113" s="2577"/>
      <c r="AH113" s="2577"/>
      <c r="AI113" s="2577"/>
      <c r="AJ113" s="2577"/>
      <c r="AK113" s="2577"/>
      <c r="AL113" s="2577"/>
      <c r="AM113" s="2577"/>
      <c r="AN113" s="2577"/>
      <c r="AO113" s="2577"/>
      <c r="AP113" s="2577"/>
      <c r="AQ113" s="2577"/>
      <c r="AR113" s="2577"/>
      <c r="AS113" s="2592"/>
      <c r="AT113" s="2582"/>
      <c r="AU113" s="2582"/>
      <c r="AV113" s="2582"/>
      <c r="AW113" s="2582"/>
      <c r="AX113" s="2582"/>
      <c r="AY113" s="2582"/>
      <c r="AZ113" s="2582"/>
      <c r="BA113" s="2582"/>
      <c r="BB113" s="2582"/>
      <c r="BC113" s="2582"/>
      <c r="BD113" s="2582"/>
      <c r="BE113" s="2582"/>
      <c r="BF113" s="2582"/>
      <c r="BG113" s="2582"/>
      <c r="BH113" s="2582"/>
      <c r="BI113" s="2582"/>
      <c r="BJ113" s="2582"/>
      <c r="BK113" s="2582"/>
      <c r="BL113" s="2582"/>
      <c r="BM113" s="2582"/>
      <c r="BN113" s="2582"/>
      <c r="BO113" s="2582"/>
      <c r="BP113" s="2582"/>
    </row>
    <row r="114" spans="1:68" s="2583" customFormat="1" ht="57" x14ac:dyDescent="0.25">
      <c r="A114" s="2589">
        <v>4</v>
      </c>
      <c r="B114" s="219" t="s">
        <v>1431</v>
      </c>
      <c r="C114" s="2565">
        <f>C115</f>
        <v>0.7</v>
      </c>
      <c r="D114" s="2565">
        <f t="shared" ref="D114:AR114" si="148">D115</f>
        <v>0</v>
      </c>
      <c r="E114" s="2565">
        <f t="shared" si="148"/>
        <v>0</v>
      </c>
      <c r="F114" s="2565">
        <f t="shared" si="148"/>
        <v>0</v>
      </c>
      <c r="G114" s="2565">
        <f t="shared" si="148"/>
        <v>0</v>
      </c>
      <c r="H114" s="2565">
        <f t="shared" si="148"/>
        <v>0</v>
      </c>
      <c r="I114" s="2565">
        <f t="shared" si="148"/>
        <v>0</v>
      </c>
      <c r="J114" s="2565">
        <f t="shared" si="148"/>
        <v>0</v>
      </c>
      <c r="K114" s="2565">
        <f t="shared" si="148"/>
        <v>0.7</v>
      </c>
      <c r="L114" s="2565">
        <f t="shared" si="148"/>
        <v>48000</v>
      </c>
      <c r="M114" s="2565">
        <f t="shared" si="148"/>
        <v>48000</v>
      </c>
      <c r="N114" s="2565">
        <f t="shared" si="148"/>
        <v>0</v>
      </c>
      <c r="O114" s="2565">
        <f t="shared" si="148"/>
        <v>48000</v>
      </c>
      <c r="P114" s="2565">
        <f t="shared" si="148"/>
        <v>0</v>
      </c>
      <c r="Q114" s="2565">
        <f t="shared" si="148"/>
        <v>0</v>
      </c>
      <c r="R114" s="2565">
        <f t="shared" si="148"/>
        <v>0</v>
      </c>
      <c r="S114" s="2565">
        <f t="shared" si="148"/>
        <v>0</v>
      </c>
      <c r="T114" s="2565">
        <f t="shared" si="148"/>
        <v>0</v>
      </c>
      <c r="U114" s="2565">
        <f t="shared" si="148"/>
        <v>0</v>
      </c>
      <c r="V114" s="2565">
        <f t="shared" si="148"/>
        <v>0</v>
      </c>
      <c r="W114" s="2565">
        <f t="shared" si="148"/>
        <v>0</v>
      </c>
      <c r="X114" s="2565">
        <f t="shared" si="148"/>
        <v>0</v>
      </c>
      <c r="Y114" s="2565">
        <f t="shared" si="148"/>
        <v>0</v>
      </c>
      <c r="Z114" s="2565">
        <f t="shared" si="148"/>
        <v>0</v>
      </c>
      <c r="AA114" s="2565">
        <f t="shared" si="148"/>
        <v>0</v>
      </c>
      <c r="AB114" s="2565">
        <f t="shared" si="148"/>
        <v>0</v>
      </c>
      <c r="AC114" s="2565">
        <f t="shared" si="148"/>
        <v>0</v>
      </c>
      <c r="AD114" s="2565">
        <f t="shared" si="148"/>
        <v>0</v>
      </c>
      <c r="AE114" s="2565">
        <f t="shared" si="148"/>
        <v>0</v>
      </c>
      <c r="AF114" s="2565">
        <f t="shared" si="148"/>
        <v>0</v>
      </c>
      <c r="AG114" s="2565">
        <f t="shared" si="148"/>
        <v>0</v>
      </c>
      <c r="AH114" s="2565">
        <f t="shared" si="148"/>
        <v>0</v>
      </c>
      <c r="AI114" s="2565">
        <f t="shared" si="148"/>
        <v>0</v>
      </c>
      <c r="AJ114" s="2565">
        <f t="shared" si="148"/>
        <v>0</v>
      </c>
      <c r="AK114" s="2565">
        <f t="shared" si="148"/>
        <v>0</v>
      </c>
      <c r="AL114" s="2565">
        <f t="shared" si="148"/>
        <v>0</v>
      </c>
      <c r="AM114" s="2565">
        <f t="shared" si="148"/>
        <v>0</v>
      </c>
      <c r="AN114" s="2565">
        <f t="shared" si="148"/>
        <v>0</v>
      </c>
      <c r="AO114" s="2565">
        <f t="shared" si="148"/>
        <v>0</v>
      </c>
      <c r="AP114" s="2565">
        <f t="shared" si="148"/>
        <v>0</v>
      </c>
      <c r="AQ114" s="2565">
        <f t="shared" si="148"/>
        <v>0</v>
      </c>
      <c r="AR114" s="2565">
        <f t="shared" si="148"/>
        <v>48000.7</v>
      </c>
      <c r="AS114" s="2592"/>
      <c r="AT114" s="2582"/>
      <c r="AU114" s="2582"/>
      <c r="AV114" s="2582"/>
      <c r="AW114" s="2582"/>
      <c r="AX114" s="2582"/>
      <c r="AY114" s="2582"/>
      <c r="AZ114" s="2582"/>
      <c r="BA114" s="2582"/>
      <c r="BB114" s="2582"/>
      <c r="BC114" s="2582"/>
      <c r="BD114" s="2582"/>
      <c r="BE114" s="2582"/>
      <c r="BF114" s="2582"/>
      <c r="BG114" s="2582"/>
      <c r="BH114" s="2582"/>
      <c r="BI114" s="2582"/>
      <c r="BJ114" s="2582"/>
      <c r="BK114" s="2582"/>
      <c r="BL114" s="2582"/>
      <c r="BM114" s="2582"/>
      <c r="BN114" s="2582"/>
      <c r="BO114" s="2582"/>
      <c r="BP114" s="2582"/>
    </row>
    <row r="115" spans="1:68" s="2583" customFormat="1" ht="75" x14ac:dyDescent="0.25">
      <c r="A115" s="2589"/>
      <c r="B115" s="2074" t="s">
        <v>2103</v>
      </c>
      <c r="C115" s="2565">
        <f>SUM(C116:C118)</f>
        <v>0.7</v>
      </c>
      <c r="D115" s="2592"/>
      <c r="E115" s="2592"/>
      <c r="F115" s="2592"/>
      <c r="G115" s="2592"/>
      <c r="H115" s="2592"/>
      <c r="I115" s="2592"/>
      <c r="J115" s="2565">
        <f>SUM(J116:J118)</f>
        <v>0</v>
      </c>
      <c r="K115" s="2565">
        <f t="shared" ref="K115:AR115" si="149">SUM(K116:K118)</f>
        <v>0.7</v>
      </c>
      <c r="L115" s="2565">
        <f t="shared" si="149"/>
        <v>48000</v>
      </c>
      <c r="M115" s="2565">
        <f t="shared" si="149"/>
        <v>48000</v>
      </c>
      <c r="N115" s="2565">
        <f t="shared" si="149"/>
        <v>0</v>
      </c>
      <c r="O115" s="2565">
        <f t="shared" si="149"/>
        <v>48000</v>
      </c>
      <c r="P115" s="2565">
        <f t="shared" si="149"/>
        <v>0</v>
      </c>
      <c r="Q115" s="2565">
        <f t="shared" si="149"/>
        <v>0</v>
      </c>
      <c r="R115" s="2565">
        <f t="shared" si="149"/>
        <v>0</v>
      </c>
      <c r="S115" s="2565">
        <f t="shared" si="149"/>
        <v>0</v>
      </c>
      <c r="T115" s="2565">
        <f t="shared" si="149"/>
        <v>0</v>
      </c>
      <c r="U115" s="2565">
        <f t="shared" si="149"/>
        <v>0</v>
      </c>
      <c r="V115" s="2565">
        <f t="shared" si="149"/>
        <v>0</v>
      </c>
      <c r="W115" s="2565">
        <f t="shared" si="149"/>
        <v>0</v>
      </c>
      <c r="X115" s="2565">
        <f t="shared" si="149"/>
        <v>0</v>
      </c>
      <c r="Y115" s="2565">
        <f t="shared" si="149"/>
        <v>0</v>
      </c>
      <c r="Z115" s="2565">
        <f t="shared" si="149"/>
        <v>0</v>
      </c>
      <c r="AA115" s="2565">
        <f t="shared" si="149"/>
        <v>0</v>
      </c>
      <c r="AB115" s="2565">
        <f t="shared" si="149"/>
        <v>0</v>
      </c>
      <c r="AC115" s="2565">
        <f t="shared" si="149"/>
        <v>0</v>
      </c>
      <c r="AD115" s="2565">
        <f t="shared" si="149"/>
        <v>0</v>
      </c>
      <c r="AE115" s="2565">
        <f t="shared" si="149"/>
        <v>0</v>
      </c>
      <c r="AF115" s="2565">
        <f t="shared" si="149"/>
        <v>0</v>
      </c>
      <c r="AG115" s="2565">
        <f t="shared" si="149"/>
        <v>0</v>
      </c>
      <c r="AH115" s="2565">
        <f t="shared" si="149"/>
        <v>0</v>
      </c>
      <c r="AI115" s="2565">
        <f t="shared" si="149"/>
        <v>0</v>
      </c>
      <c r="AJ115" s="2565">
        <f t="shared" si="149"/>
        <v>0</v>
      </c>
      <c r="AK115" s="2565">
        <f t="shared" si="149"/>
        <v>0</v>
      </c>
      <c r="AL115" s="2565">
        <f t="shared" si="149"/>
        <v>0</v>
      </c>
      <c r="AM115" s="2565">
        <f t="shared" si="149"/>
        <v>0</v>
      </c>
      <c r="AN115" s="2565">
        <f t="shared" si="149"/>
        <v>0</v>
      </c>
      <c r="AO115" s="2565">
        <f t="shared" si="149"/>
        <v>0</v>
      </c>
      <c r="AP115" s="2565">
        <f t="shared" si="149"/>
        <v>0</v>
      </c>
      <c r="AQ115" s="2565">
        <f t="shared" si="149"/>
        <v>0</v>
      </c>
      <c r="AR115" s="2565">
        <f t="shared" si="149"/>
        <v>48000.7</v>
      </c>
      <c r="AS115" s="2592"/>
      <c r="AT115" s="2582"/>
      <c r="AU115" s="2582"/>
      <c r="AV115" s="2582"/>
      <c r="AW115" s="2582"/>
      <c r="AX115" s="2582"/>
      <c r="AY115" s="2582"/>
      <c r="AZ115" s="2582"/>
      <c r="BA115" s="2582"/>
      <c r="BB115" s="2582"/>
      <c r="BC115" s="2582"/>
      <c r="BD115" s="2582"/>
      <c r="BE115" s="2582"/>
      <c r="BF115" s="2582"/>
      <c r="BG115" s="2582"/>
      <c r="BH115" s="2582"/>
      <c r="BI115" s="2582"/>
      <c r="BJ115" s="2582"/>
      <c r="BK115" s="2582"/>
      <c r="BL115" s="2582"/>
      <c r="BM115" s="2582"/>
      <c r="BN115" s="2582"/>
      <c r="BO115" s="2582"/>
      <c r="BP115" s="2582"/>
    </row>
    <row r="116" spans="1:68" s="2583" customFormat="1" ht="15" x14ac:dyDescent="0.25">
      <c r="A116" s="2574" t="s">
        <v>23</v>
      </c>
      <c r="B116" s="2575" t="s">
        <v>1118</v>
      </c>
      <c r="C116" s="2576">
        <f t="shared" si="105"/>
        <v>0.7</v>
      </c>
      <c r="D116" s="2592"/>
      <c r="E116" s="2592"/>
      <c r="F116" s="2592"/>
      <c r="G116" s="2592"/>
      <c r="H116" s="2592"/>
      <c r="I116" s="2592"/>
      <c r="J116" s="2592"/>
      <c r="K116" s="2592">
        <v>0.7</v>
      </c>
      <c r="L116" s="2577">
        <f>M116+P116</f>
        <v>46000</v>
      </c>
      <c r="M116" s="2577">
        <f>N116+O116</f>
        <v>46000</v>
      </c>
      <c r="N116" s="2592"/>
      <c r="O116" s="2577">
        <v>46000</v>
      </c>
      <c r="P116" s="2588">
        <f>W116+X116</f>
        <v>0</v>
      </c>
      <c r="Q116" s="2578"/>
      <c r="R116" s="2578"/>
      <c r="S116" s="2577">
        <f>SUM(Z116:AC116)</f>
        <v>0</v>
      </c>
      <c r="T116" s="2578"/>
      <c r="U116" s="2578"/>
      <c r="V116" s="2578"/>
      <c r="W116" s="2578"/>
      <c r="X116" s="2578"/>
      <c r="Y116" s="2578"/>
      <c r="Z116" s="2577"/>
      <c r="AA116" s="2577"/>
      <c r="AB116" s="2577"/>
      <c r="AC116" s="2577">
        <v>0</v>
      </c>
      <c r="AD116" s="2576">
        <f>AE116+AF116</f>
        <v>0</v>
      </c>
      <c r="AE116" s="2577"/>
      <c r="AF116" s="2577"/>
      <c r="AG116" s="2577"/>
      <c r="AH116" s="2577"/>
      <c r="AI116" s="2577"/>
      <c r="AJ116" s="2577"/>
      <c r="AK116" s="2577"/>
      <c r="AL116" s="2577"/>
      <c r="AM116" s="2577"/>
      <c r="AN116" s="2577"/>
      <c r="AO116" s="2577"/>
      <c r="AP116" s="2577"/>
      <c r="AQ116" s="2577"/>
      <c r="AR116" s="2577">
        <f>C116+L116</f>
        <v>46000.7</v>
      </c>
      <c r="AS116" s="2592"/>
      <c r="AT116" s="2582"/>
      <c r="AU116" s="2582"/>
      <c r="AV116" s="2582"/>
      <c r="AW116" s="2582"/>
      <c r="AX116" s="2582"/>
      <c r="AY116" s="2582"/>
      <c r="AZ116" s="2582"/>
      <c r="BA116" s="2582"/>
      <c r="BB116" s="2582"/>
      <c r="BC116" s="2582"/>
      <c r="BD116" s="2582"/>
      <c r="BE116" s="2582"/>
      <c r="BF116" s="2582"/>
      <c r="BG116" s="2582"/>
      <c r="BH116" s="2582"/>
      <c r="BI116" s="2582"/>
      <c r="BJ116" s="2582"/>
      <c r="BK116" s="2582"/>
      <c r="BL116" s="2582"/>
      <c r="BM116" s="2582"/>
      <c r="BN116" s="2582"/>
      <c r="BO116" s="2582"/>
      <c r="BP116" s="2582"/>
    </row>
    <row r="117" spans="1:68" s="2583" customFormat="1" ht="15" x14ac:dyDescent="0.25">
      <c r="A117" s="2574" t="s">
        <v>23</v>
      </c>
      <c r="B117" s="2575" t="s">
        <v>1119</v>
      </c>
      <c r="C117" s="2576">
        <f t="shared" si="105"/>
        <v>0</v>
      </c>
      <c r="D117" s="2592"/>
      <c r="E117" s="2592"/>
      <c r="F117" s="2592"/>
      <c r="G117" s="2592"/>
      <c r="H117" s="2592"/>
      <c r="I117" s="2592"/>
      <c r="J117" s="2592"/>
      <c r="K117" s="2592"/>
      <c r="L117" s="2577">
        <f t="shared" ref="L117:L118" si="150">M117+P117</f>
        <v>2000</v>
      </c>
      <c r="M117" s="2577">
        <f t="shared" ref="M117:M118" si="151">N117+O117</f>
        <v>2000</v>
      </c>
      <c r="N117" s="2592"/>
      <c r="O117" s="2577">
        <v>2000</v>
      </c>
      <c r="P117" s="2588">
        <f>W117+X117</f>
        <v>0</v>
      </c>
      <c r="Q117" s="2578"/>
      <c r="R117" s="2578"/>
      <c r="S117" s="2577">
        <f>SUM(Z117:AC117)</f>
        <v>0</v>
      </c>
      <c r="T117" s="2578"/>
      <c r="U117" s="2578"/>
      <c r="V117" s="2578"/>
      <c r="W117" s="2578"/>
      <c r="X117" s="2578"/>
      <c r="Y117" s="2578"/>
      <c r="Z117" s="2577"/>
      <c r="AA117" s="2577"/>
      <c r="AB117" s="2577"/>
      <c r="AC117" s="2577">
        <v>0</v>
      </c>
      <c r="AD117" s="2576">
        <f>AE117+AF117</f>
        <v>0</v>
      </c>
      <c r="AE117" s="2577"/>
      <c r="AF117" s="2577"/>
      <c r="AG117" s="2577"/>
      <c r="AH117" s="2577"/>
      <c r="AI117" s="2577"/>
      <c r="AJ117" s="2577"/>
      <c r="AK117" s="2577"/>
      <c r="AL117" s="2577"/>
      <c r="AM117" s="2577"/>
      <c r="AN117" s="2577"/>
      <c r="AO117" s="2577"/>
      <c r="AP117" s="2577"/>
      <c r="AQ117" s="2577"/>
      <c r="AR117" s="2577">
        <f>L117</f>
        <v>2000</v>
      </c>
      <c r="AS117" s="2592"/>
      <c r="AT117" s="2582"/>
      <c r="AU117" s="2582"/>
      <c r="AV117" s="2582"/>
      <c r="AW117" s="2582"/>
      <c r="AX117" s="2582"/>
      <c r="AY117" s="2582"/>
      <c r="AZ117" s="2582"/>
      <c r="BA117" s="2582"/>
      <c r="BB117" s="2582"/>
      <c r="BC117" s="2582"/>
      <c r="BD117" s="2582"/>
      <c r="BE117" s="2582"/>
      <c r="BF117" s="2582"/>
      <c r="BG117" s="2582"/>
      <c r="BH117" s="2582"/>
      <c r="BI117" s="2582"/>
      <c r="BJ117" s="2582"/>
      <c r="BK117" s="2582"/>
      <c r="BL117" s="2582"/>
      <c r="BM117" s="2582"/>
      <c r="BN117" s="2582"/>
      <c r="BO117" s="2582"/>
      <c r="BP117" s="2582"/>
    </row>
    <row r="118" spans="1:68" s="2583" customFormat="1" ht="15" x14ac:dyDescent="0.25">
      <c r="A118" s="2574" t="s">
        <v>23</v>
      </c>
      <c r="B118" s="2575" t="s">
        <v>502</v>
      </c>
      <c r="C118" s="2576">
        <f t="shared" si="105"/>
        <v>0</v>
      </c>
      <c r="D118" s="2592"/>
      <c r="E118" s="2592"/>
      <c r="F118" s="2592"/>
      <c r="G118" s="2592"/>
      <c r="H118" s="2592"/>
      <c r="I118" s="2592"/>
      <c r="J118" s="2592"/>
      <c r="K118" s="2592"/>
      <c r="L118" s="2577">
        <f t="shared" si="150"/>
        <v>0</v>
      </c>
      <c r="M118" s="2577">
        <f t="shared" si="151"/>
        <v>0</v>
      </c>
      <c r="N118" s="2592"/>
      <c r="O118" s="2577"/>
      <c r="P118" s="2578"/>
      <c r="Q118" s="2578"/>
      <c r="R118" s="2578"/>
      <c r="S118" s="2577"/>
      <c r="T118" s="2578"/>
      <c r="U118" s="2578"/>
      <c r="V118" s="2578"/>
      <c r="W118" s="2578"/>
      <c r="X118" s="2578"/>
      <c r="Y118" s="2578"/>
      <c r="Z118" s="2577"/>
      <c r="AA118" s="2577"/>
      <c r="AB118" s="2577"/>
      <c r="AC118" s="2577"/>
      <c r="AD118" s="2577"/>
      <c r="AE118" s="2577"/>
      <c r="AF118" s="2577"/>
      <c r="AG118" s="2577"/>
      <c r="AH118" s="2577"/>
      <c r="AI118" s="2577"/>
      <c r="AJ118" s="2577"/>
      <c r="AK118" s="2577"/>
      <c r="AL118" s="2577"/>
      <c r="AM118" s="2577"/>
      <c r="AN118" s="2577"/>
      <c r="AO118" s="2577"/>
      <c r="AP118" s="2577"/>
      <c r="AQ118" s="2577"/>
      <c r="AR118" s="2577"/>
      <c r="AS118" s="2592"/>
      <c r="AT118" s="2582"/>
      <c r="AU118" s="2582"/>
      <c r="AV118" s="2582"/>
      <c r="AW118" s="2582"/>
      <c r="AX118" s="2582"/>
      <c r="AY118" s="2582"/>
      <c r="AZ118" s="2582"/>
      <c r="BA118" s="2582"/>
      <c r="BB118" s="2582"/>
      <c r="BC118" s="2582"/>
      <c r="BD118" s="2582"/>
      <c r="BE118" s="2582"/>
      <c r="BF118" s="2582"/>
      <c r="BG118" s="2582"/>
      <c r="BH118" s="2582"/>
      <c r="BI118" s="2582"/>
      <c r="BJ118" s="2582"/>
      <c r="BK118" s="2582"/>
      <c r="BL118" s="2582"/>
      <c r="BM118" s="2582"/>
      <c r="BN118" s="2582"/>
      <c r="BO118" s="2582"/>
      <c r="BP118" s="2582"/>
    </row>
    <row r="119" spans="1:68" s="2583" customFormat="1" ht="85.5" x14ac:dyDescent="0.25">
      <c r="A119" s="2574">
        <v>5</v>
      </c>
      <c r="B119" s="219" t="s">
        <v>1425</v>
      </c>
      <c r="C119" s="2565">
        <f>SUM(C120:C122)</f>
        <v>12488.528</v>
      </c>
      <c r="D119" s="2592"/>
      <c r="E119" s="2592"/>
      <c r="F119" s="2592"/>
      <c r="G119" s="2592"/>
      <c r="H119" s="2592"/>
      <c r="I119" s="2592"/>
      <c r="J119" s="2565">
        <f>SUM(J120:J122)</f>
        <v>0</v>
      </c>
      <c r="K119" s="2565">
        <f t="shared" ref="K119:AR119" si="152">SUM(K120:K122)</f>
        <v>12488.528</v>
      </c>
      <c r="L119" s="2565">
        <f t="shared" si="152"/>
        <v>279000</v>
      </c>
      <c r="M119" s="2565">
        <f t="shared" si="152"/>
        <v>279000</v>
      </c>
      <c r="N119" s="2565">
        <f t="shared" si="152"/>
        <v>0</v>
      </c>
      <c r="O119" s="2565">
        <f>SUM(O120:O122)</f>
        <v>279000</v>
      </c>
      <c r="P119" s="2565">
        <f t="shared" si="152"/>
        <v>0</v>
      </c>
      <c r="Q119" s="2565">
        <f t="shared" si="152"/>
        <v>0</v>
      </c>
      <c r="R119" s="2565">
        <f t="shared" si="152"/>
        <v>0</v>
      </c>
      <c r="S119" s="2565">
        <f t="shared" si="152"/>
        <v>200000</v>
      </c>
      <c r="T119" s="2565">
        <f t="shared" si="152"/>
        <v>0</v>
      </c>
      <c r="U119" s="2565">
        <f t="shared" si="152"/>
        <v>0</v>
      </c>
      <c r="V119" s="2565">
        <f t="shared" si="152"/>
        <v>0</v>
      </c>
      <c r="W119" s="2565">
        <f t="shared" si="152"/>
        <v>0</v>
      </c>
      <c r="X119" s="2565">
        <f t="shared" si="152"/>
        <v>0</v>
      </c>
      <c r="Y119" s="2565">
        <f t="shared" si="152"/>
        <v>0</v>
      </c>
      <c r="Z119" s="2565">
        <f t="shared" si="152"/>
        <v>0</v>
      </c>
      <c r="AA119" s="2565">
        <f t="shared" si="152"/>
        <v>0</v>
      </c>
      <c r="AB119" s="2565">
        <f t="shared" si="152"/>
        <v>0</v>
      </c>
      <c r="AC119" s="2565">
        <f t="shared" si="152"/>
        <v>200000</v>
      </c>
      <c r="AD119" s="2565">
        <f t="shared" si="152"/>
        <v>0</v>
      </c>
      <c r="AE119" s="2565">
        <f t="shared" si="152"/>
        <v>0</v>
      </c>
      <c r="AF119" s="2565">
        <f t="shared" si="152"/>
        <v>66487.56</v>
      </c>
      <c r="AG119" s="2565">
        <f t="shared" si="152"/>
        <v>0</v>
      </c>
      <c r="AH119" s="2565">
        <f t="shared" si="152"/>
        <v>0</v>
      </c>
      <c r="AI119" s="2565">
        <f t="shared" si="152"/>
        <v>0</v>
      </c>
      <c r="AJ119" s="2565">
        <f t="shared" si="152"/>
        <v>0</v>
      </c>
      <c r="AK119" s="2565">
        <f t="shared" si="152"/>
        <v>0</v>
      </c>
      <c r="AL119" s="2565">
        <f t="shared" si="152"/>
        <v>0</v>
      </c>
      <c r="AM119" s="2565">
        <f t="shared" si="152"/>
        <v>0</v>
      </c>
      <c r="AN119" s="2565">
        <f t="shared" si="152"/>
        <v>0</v>
      </c>
      <c r="AO119" s="2565">
        <f t="shared" si="152"/>
        <v>0</v>
      </c>
      <c r="AP119" s="2565">
        <f t="shared" si="152"/>
        <v>0</v>
      </c>
      <c r="AQ119" s="2565">
        <f t="shared" si="152"/>
        <v>0</v>
      </c>
      <c r="AR119" s="2565">
        <f t="shared" si="152"/>
        <v>25000.968000000001</v>
      </c>
      <c r="AS119" s="2592"/>
      <c r="AT119" s="2582"/>
      <c r="AU119" s="2582"/>
      <c r="AV119" s="2582"/>
      <c r="AW119" s="2582"/>
      <c r="AX119" s="2582"/>
      <c r="AY119" s="2582"/>
      <c r="AZ119" s="2582"/>
      <c r="BA119" s="2582"/>
      <c r="BB119" s="2582"/>
      <c r="BC119" s="2582"/>
      <c r="BD119" s="2582"/>
      <c r="BE119" s="2582"/>
      <c r="BF119" s="2582"/>
      <c r="BG119" s="2582"/>
      <c r="BH119" s="2582"/>
      <c r="BI119" s="2582"/>
      <c r="BJ119" s="2582"/>
      <c r="BK119" s="2582"/>
      <c r="BL119" s="2582"/>
      <c r="BM119" s="2582"/>
      <c r="BN119" s="2582"/>
      <c r="BO119" s="2582"/>
      <c r="BP119" s="2582"/>
    </row>
    <row r="120" spans="1:68" s="2583" customFormat="1" ht="15" x14ac:dyDescent="0.25">
      <c r="A120" s="2574" t="s">
        <v>23</v>
      </c>
      <c r="B120" s="2575" t="s">
        <v>1118</v>
      </c>
      <c r="C120" s="2576">
        <f>J120+K120</f>
        <v>12488.528</v>
      </c>
      <c r="D120" s="2592"/>
      <c r="E120" s="2592"/>
      <c r="F120" s="2592"/>
      <c r="G120" s="2592"/>
      <c r="H120" s="2592"/>
      <c r="I120" s="2592"/>
      <c r="J120" s="2577">
        <f>J124+J128</f>
        <v>0</v>
      </c>
      <c r="K120" s="2577">
        <f>K124+K128</f>
        <v>12488.528</v>
      </c>
      <c r="L120" s="2577">
        <f>M120+P120</f>
        <v>263000</v>
      </c>
      <c r="M120" s="2577">
        <f>M124+M128</f>
        <v>263000</v>
      </c>
      <c r="N120" s="2577">
        <f>N124+N128</f>
        <v>0</v>
      </c>
      <c r="O120" s="2577">
        <f>O124+O128</f>
        <v>263000</v>
      </c>
      <c r="P120" s="2594"/>
      <c r="Q120" s="2578">
        <f>Q124+Q128</f>
        <v>0</v>
      </c>
      <c r="R120" s="2578">
        <f>R124+R129</f>
        <v>0</v>
      </c>
      <c r="S120" s="2577">
        <f>SUM(Z120:AC120)</f>
        <v>190000</v>
      </c>
      <c r="T120" s="2594"/>
      <c r="U120" s="2594"/>
      <c r="V120" s="2594"/>
      <c r="W120" s="2594"/>
      <c r="X120" s="2594"/>
      <c r="Y120" s="2594"/>
      <c r="Z120" s="2577">
        <f>Z124+Z128</f>
        <v>0</v>
      </c>
      <c r="AA120" s="2577">
        <f>AA124+AA129</f>
        <v>0</v>
      </c>
      <c r="AB120" s="2577">
        <f>AB124+AB128</f>
        <v>0</v>
      </c>
      <c r="AC120" s="2577">
        <f>AC124+AC129</f>
        <v>190000</v>
      </c>
      <c r="AD120" s="2592"/>
      <c r="AE120" s="2577">
        <f>AE124+AE128</f>
        <v>0</v>
      </c>
      <c r="AF120" s="2577">
        <f>AF124+AF129</f>
        <v>61487.56</v>
      </c>
      <c r="AG120" s="2592"/>
      <c r="AH120" s="2592"/>
      <c r="AI120" s="2592"/>
      <c r="AJ120" s="2592"/>
      <c r="AK120" s="2592"/>
      <c r="AL120" s="2592"/>
      <c r="AM120" s="2592"/>
      <c r="AN120" s="2577">
        <f>AN124+AN128</f>
        <v>0</v>
      </c>
      <c r="AO120" s="2577">
        <f>AO124+AO129</f>
        <v>0</v>
      </c>
      <c r="AP120" s="2577">
        <f>AP124+AP128</f>
        <v>0</v>
      </c>
      <c r="AQ120" s="2577">
        <f>AQ124+AQ129</f>
        <v>0</v>
      </c>
      <c r="AR120" s="2577">
        <f>AR124+AR128</f>
        <v>24000.968000000001</v>
      </c>
      <c r="AS120" s="2592"/>
      <c r="AT120" s="2582"/>
      <c r="AU120" s="2582"/>
      <c r="AV120" s="2582"/>
      <c r="AW120" s="2582"/>
      <c r="AX120" s="2582"/>
      <c r="AY120" s="2582"/>
      <c r="AZ120" s="2582"/>
      <c r="BA120" s="2582"/>
      <c r="BB120" s="2582"/>
      <c r="BC120" s="2582"/>
      <c r="BD120" s="2582"/>
      <c r="BE120" s="2582"/>
      <c r="BF120" s="2582"/>
      <c r="BG120" s="2582"/>
      <c r="BH120" s="2582"/>
      <c r="BI120" s="2582"/>
      <c r="BJ120" s="2582"/>
      <c r="BK120" s="2582"/>
      <c r="BL120" s="2582"/>
      <c r="BM120" s="2582"/>
      <c r="BN120" s="2582"/>
      <c r="BO120" s="2582"/>
      <c r="BP120" s="2582"/>
    </row>
    <row r="121" spans="1:68" s="2583" customFormat="1" ht="15" x14ac:dyDescent="0.25">
      <c r="A121" s="2574" t="s">
        <v>23</v>
      </c>
      <c r="B121" s="2575" t="s">
        <v>1119</v>
      </c>
      <c r="C121" s="2576">
        <f t="shared" si="105"/>
        <v>0</v>
      </c>
      <c r="D121" s="2592"/>
      <c r="E121" s="2592"/>
      <c r="F121" s="2592"/>
      <c r="G121" s="2592"/>
      <c r="H121" s="2592"/>
      <c r="I121" s="2592"/>
      <c r="J121" s="2577">
        <f t="shared" ref="J121:K122" si="153">J125+J129</f>
        <v>0</v>
      </c>
      <c r="K121" s="2577">
        <f t="shared" si="153"/>
        <v>0</v>
      </c>
      <c r="L121" s="2577">
        <f t="shared" ref="L121:L122" si="154">M121+P121</f>
        <v>16000</v>
      </c>
      <c r="M121" s="2577">
        <f t="shared" ref="M121" si="155">N121+O121</f>
        <v>16000</v>
      </c>
      <c r="N121" s="2577">
        <f t="shared" ref="N121:N122" si="156">N125+N129</f>
        <v>0</v>
      </c>
      <c r="O121" s="2577">
        <f>O125+O129</f>
        <v>16000</v>
      </c>
      <c r="P121" s="2594"/>
      <c r="Q121" s="2578">
        <f t="shared" ref="Q121:Q122" si="157">Q125+Q129</f>
        <v>0</v>
      </c>
      <c r="R121" s="2578">
        <f t="shared" ref="R121:R122" si="158">R125+R130</f>
        <v>0</v>
      </c>
      <c r="S121" s="2577">
        <f>SUM(Z121:AC121)</f>
        <v>10000</v>
      </c>
      <c r="T121" s="2594"/>
      <c r="U121" s="2594"/>
      <c r="V121" s="2594"/>
      <c r="W121" s="2594"/>
      <c r="X121" s="2594"/>
      <c r="Y121" s="2594"/>
      <c r="Z121" s="2577">
        <f t="shared" ref="Z121:Z122" si="159">Z125+Z129</f>
        <v>0</v>
      </c>
      <c r="AA121" s="2577">
        <f t="shared" ref="AA121:AA122" si="160">AA125+AA130</f>
        <v>0</v>
      </c>
      <c r="AB121" s="2577">
        <f t="shared" ref="AB121:AB122" si="161">AB125+AB129</f>
        <v>0</v>
      </c>
      <c r="AC121" s="2577">
        <f t="shared" ref="AC121:AC122" si="162">AC125+AC130</f>
        <v>10000</v>
      </c>
      <c r="AD121" s="2592"/>
      <c r="AE121" s="2577">
        <f t="shared" ref="AE121:AE122" si="163">AE125+AE129</f>
        <v>0</v>
      </c>
      <c r="AF121" s="2577">
        <f t="shared" ref="AF121:AF122" si="164">AF125+AF130</f>
        <v>5000</v>
      </c>
      <c r="AG121" s="2592"/>
      <c r="AH121" s="2592"/>
      <c r="AI121" s="2592"/>
      <c r="AJ121" s="2592"/>
      <c r="AK121" s="2592"/>
      <c r="AL121" s="2592"/>
      <c r="AM121" s="2592"/>
      <c r="AN121" s="2577">
        <f t="shared" ref="AN121:AN122" si="165">AN125+AN129</f>
        <v>0</v>
      </c>
      <c r="AO121" s="2577">
        <f t="shared" ref="AO121:AO122" si="166">AO125+AO130</f>
        <v>0</v>
      </c>
      <c r="AP121" s="2577">
        <f t="shared" ref="AP121:AP122" si="167">AP125+AP129</f>
        <v>0</v>
      </c>
      <c r="AQ121" s="2577">
        <f t="shared" ref="AQ121:AQ122" si="168">AQ125+AQ130</f>
        <v>0</v>
      </c>
      <c r="AR121" s="2577">
        <f t="shared" ref="AR121:AR122" si="169">AR125+AR129</f>
        <v>1000</v>
      </c>
      <c r="AS121" s="2592"/>
      <c r="AT121" s="2582"/>
      <c r="AU121" s="2582"/>
      <c r="AV121" s="2582"/>
      <c r="AW121" s="2582"/>
      <c r="AX121" s="2582"/>
      <c r="AY121" s="2582"/>
      <c r="AZ121" s="2582"/>
      <c r="BA121" s="2582"/>
      <c r="BB121" s="2582"/>
      <c r="BC121" s="2582"/>
      <c r="BD121" s="2582"/>
      <c r="BE121" s="2582"/>
      <c r="BF121" s="2582"/>
      <c r="BG121" s="2582"/>
      <c r="BH121" s="2582"/>
      <c r="BI121" s="2582"/>
      <c r="BJ121" s="2582"/>
      <c r="BK121" s="2582"/>
      <c r="BL121" s="2582"/>
      <c r="BM121" s="2582"/>
      <c r="BN121" s="2582"/>
      <c r="BO121" s="2582"/>
      <c r="BP121" s="2582"/>
    </row>
    <row r="122" spans="1:68" s="2583" customFormat="1" ht="15" x14ac:dyDescent="0.25">
      <c r="A122" s="2574" t="s">
        <v>23</v>
      </c>
      <c r="B122" s="2575" t="s">
        <v>502</v>
      </c>
      <c r="C122" s="2576">
        <f t="shared" si="105"/>
        <v>0</v>
      </c>
      <c r="D122" s="2592"/>
      <c r="E122" s="2592"/>
      <c r="F122" s="2592"/>
      <c r="G122" s="2592"/>
      <c r="H122" s="2592"/>
      <c r="I122" s="2592"/>
      <c r="J122" s="2577">
        <f t="shared" si="153"/>
        <v>0</v>
      </c>
      <c r="K122" s="2577">
        <f t="shared" si="153"/>
        <v>0</v>
      </c>
      <c r="L122" s="2577">
        <f t="shared" si="154"/>
        <v>0</v>
      </c>
      <c r="M122" s="2592"/>
      <c r="N122" s="2577">
        <f t="shared" si="156"/>
        <v>0</v>
      </c>
      <c r="O122" s="2577">
        <f t="shared" ref="O122" si="170">O126+O131</f>
        <v>0</v>
      </c>
      <c r="P122" s="2594"/>
      <c r="Q122" s="2578">
        <f t="shared" si="157"/>
        <v>0</v>
      </c>
      <c r="R122" s="2578">
        <f t="shared" si="158"/>
        <v>0</v>
      </c>
      <c r="S122" s="2577">
        <f>SUM(Z122:AC122)</f>
        <v>0</v>
      </c>
      <c r="T122" s="2594"/>
      <c r="U122" s="2594"/>
      <c r="V122" s="2594"/>
      <c r="W122" s="2594"/>
      <c r="X122" s="2594"/>
      <c r="Y122" s="2594"/>
      <c r="Z122" s="2577">
        <f t="shared" si="159"/>
        <v>0</v>
      </c>
      <c r="AA122" s="2577">
        <f t="shared" si="160"/>
        <v>0</v>
      </c>
      <c r="AB122" s="2577">
        <f t="shared" si="161"/>
        <v>0</v>
      </c>
      <c r="AC122" s="2577">
        <f t="shared" si="162"/>
        <v>0</v>
      </c>
      <c r="AD122" s="2592"/>
      <c r="AE122" s="2577">
        <f t="shared" si="163"/>
        <v>0</v>
      </c>
      <c r="AF122" s="2577">
        <f t="shared" si="164"/>
        <v>0</v>
      </c>
      <c r="AG122" s="2592"/>
      <c r="AH122" s="2592"/>
      <c r="AI122" s="2592"/>
      <c r="AJ122" s="2592"/>
      <c r="AK122" s="2592"/>
      <c r="AL122" s="2592"/>
      <c r="AM122" s="2592"/>
      <c r="AN122" s="2577">
        <f t="shared" si="165"/>
        <v>0</v>
      </c>
      <c r="AO122" s="2577">
        <f t="shared" si="166"/>
        <v>0</v>
      </c>
      <c r="AP122" s="2577">
        <f t="shared" si="167"/>
        <v>0</v>
      </c>
      <c r="AQ122" s="2577">
        <f t="shared" si="168"/>
        <v>0</v>
      </c>
      <c r="AR122" s="2577">
        <f t="shared" si="169"/>
        <v>0</v>
      </c>
      <c r="AS122" s="2592"/>
      <c r="AT122" s="2582"/>
      <c r="AU122" s="2582"/>
      <c r="AV122" s="2582"/>
      <c r="AW122" s="2582"/>
      <c r="AX122" s="2582"/>
      <c r="AY122" s="2582"/>
      <c r="AZ122" s="2582"/>
      <c r="BA122" s="2582"/>
      <c r="BB122" s="2582"/>
      <c r="BC122" s="2582"/>
      <c r="BD122" s="2582"/>
      <c r="BE122" s="2582"/>
      <c r="BF122" s="2582"/>
      <c r="BG122" s="2582"/>
      <c r="BH122" s="2582"/>
      <c r="BI122" s="2582"/>
      <c r="BJ122" s="2582"/>
      <c r="BK122" s="2582"/>
      <c r="BL122" s="2582"/>
      <c r="BM122" s="2582"/>
      <c r="BN122" s="2582"/>
      <c r="BO122" s="2582"/>
      <c r="BP122" s="2582"/>
    </row>
    <row r="123" spans="1:68" s="2583" customFormat="1" ht="165" x14ac:dyDescent="0.25">
      <c r="A123" s="2574" t="s">
        <v>1011</v>
      </c>
      <c r="B123" s="2575" t="s">
        <v>2104</v>
      </c>
      <c r="C123" s="2565">
        <f>SUM(C124:I126)</f>
        <v>12487.56</v>
      </c>
      <c r="D123" s="2565">
        <f t="shared" ref="D123:I123" si="171">SUM(D124:J126)</f>
        <v>0</v>
      </c>
      <c r="E123" s="2565">
        <f t="shared" si="171"/>
        <v>12487.56</v>
      </c>
      <c r="F123" s="2565">
        <f t="shared" si="171"/>
        <v>266487.56</v>
      </c>
      <c r="G123" s="2565">
        <f t="shared" si="171"/>
        <v>520487.56</v>
      </c>
      <c r="H123" s="2565">
        <f t="shared" si="171"/>
        <v>520487.56</v>
      </c>
      <c r="I123" s="2565">
        <f t="shared" si="171"/>
        <v>774487.56</v>
      </c>
      <c r="J123" s="2565"/>
      <c r="K123" s="2565">
        <f>SUM(K124:K126)</f>
        <v>12487.56</v>
      </c>
      <c r="L123" s="2565">
        <f t="shared" ref="L123:AR123" si="172">SUM(L124:L126)</f>
        <v>254000</v>
      </c>
      <c r="M123" s="2565">
        <f t="shared" si="172"/>
        <v>254000</v>
      </c>
      <c r="N123" s="2565">
        <f t="shared" si="172"/>
        <v>0</v>
      </c>
      <c r="O123" s="2565">
        <f t="shared" si="172"/>
        <v>254000</v>
      </c>
      <c r="P123" s="2587">
        <f t="shared" si="172"/>
        <v>0</v>
      </c>
      <c r="Q123" s="2587">
        <f t="shared" si="172"/>
        <v>0</v>
      </c>
      <c r="R123" s="2587">
        <f t="shared" si="172"/>
        <v>0</v>
      </c>
      <c r="S123" s="2565">
        <f t="shared" si="172"/>
        <v>200000</v>
      </c>
      <c r="T123" s="2565">
        <f t="shared" si="172"/>
        <v>0</v>
      </c>
      <c r="U123" s="2565">
        <f t="shared" si="172"/>
        <v>0</v>
      </c>
      <c r="V123" s="2565">
        <f t="shared" si="172"/>
        <v>0</v>
      </c>
      <c r="W123" s="2565">
        <f t="shared" si="172"/>
        <v>0</v>
      </c>
      <c r="X123" s="2565">
        <f t="shared" si="172"/>
        <v>0</v>
      </c>
      <c r="Y123" s="2565">
        <f t="shared" si="172"/>
        <v>0</v>
      </c>
      <c r="Z123" s="2565">
        <f t="shared" si="172"/>
        <v>0</v>
      </c>
      <c r="AA123" s="2565">
        <f t="shared" si="172"/>
        <v>0</v>
      </c>
      <c r="AB123" s="2565">
        <f t="shared" si="172"/>
        <v>0</v>
      </c>
      <c r="AC123" s="2565">
        <f t="shared" si="172"/>
        <v>200000</v>
      </c>
      <c r="AD123" s="2565">
        <f t="shared" si="172"/>
        <v>66487.56</v>
      </c>
      <c r="AE123" s="2565">
        <f t="shared" si="172"/>
        <v>0</v>
      </c>
      <c r="AF123" s="2565">
        <f t="shared" si="172"/>
        <v>66487.56</v>
      </c>
      <c r="AG123" s="2565">
        <f t="shared" si="172"/>
        <v>0</v>
      </c>
      <c r="AH123" s="2565">
        <f t="shared" si="172"/>
        <v>0</v>
      </c>
      <c r="AI123" s="2565">
        <f t="shared" si="172"/>
        <v>0</v>
      </c>
      <c r="AJ123" s="2565">
        <f t="shared" si="172"/>
        <v>0</v>
      </c>
      <c r="AK123" s="2565">
        <f t="shared" si="172"/>
        <v>0</v>
      </c>
      <c r="AL123" s="2565">
        <f t="shared" si="172"/>
        <v>0</v>
      </c>
      <c r="AM123" s="2565">
        <f t="shared" si="172"/>
        <v>0</v>
      </c>
      <c r="AN123" s="2565">
        <f t="shared" si="172"/>
        <v>0</v>
      </c>
      <c r="AO123" s="2565">
        <f t="shared" si="172"/>
        <v>0</v>
      </c>
      <c r="AP123" s="2565">
        <f t="shared" si="172"/>
        <v>0</v>
      </c>
      <c r="AQ123" s="2565">
        <f t="shared" si="172"/>
        <v>0</v>
      </c>
      <c r="AR123" s="2565">
        <f t="shared" si="172"/>
        <v>0</v>
      </c>
      <c r="AS123" s="2592"/>
      <c r="AT123" s="2582"/>
      <c r="AU123" s="2582"/>
      <c r="AV123" s="2582"/>
      <c r="AW123" s="2582"/>
      <c r="AX123" s="2582"/>
      <c r="AY123" s="2582"/>
      <c r="AZ123" s="2582"/>
      <c r="BA123" s="2582"/>
      <c r="BB123" s="2582"/>
      <c r="BC123" s="2582"/>
      <c r="BD123" s="2582"/>
      <c r="BE123" s="2582"/>
      <c r="BF123" s="2582"/>
      <c r="BG123" s="2582"/>
      <c r="BH123" s="2582"/>
      <c r="BI123" s="2582"/>
      <c r="BJ123" s="2582"/>
      <c r="BK123" s="2582"/>
      <c r="BL123" s="2582"/>
      <c r="BM123" s="2582"/>
      <c r="BN123" s="2582"/>
      <c r="BO123" s="2582"/>
      <c r="BP123" s="2582"/>
    </row>
    <row r="124" spans="1:68" s="2583" customFormat="1" ht="15" x14ac:dyDescent="0.25">
      <c r="A124" s="2574" t="s">
        <v>23</v>
      </c>
      <c r="B124" s="2575" t="s">
        <v>1118</v>
      </c>
      <c r="C124" s="2576">
        <f t="shared" si="105"/>
        <v>12487.56</v>
      </c>
      <c r="D124" s="2592"/>
      <c r="E124" s="2592"/>
      <c r="F124" s="2592"/>
      <c r="G124" s="2592"/>
      <c r="H124" s="2592"/>
      <c r="I124" s="2592"/>
      <c r="J124" s="2592"/>
      <c r="K124" s="2602">
        <v>12487.56</v>
      </c>
      <c r="L124" s="2577">
        <f>M124+P124</f>
        <v>239000</v>
      </c>
      <c r="M124" s="2577">
        <f>N124+O124</f>
        <v>239000</v>
      </c>
      <c r="N124" s="2592"/>
      <c r="O124" s="2577">
        <f>190000+49000</f>
        <v>239000</v>
      </c>
      <c r="P124" s="2588">
        <f>W124+X124</f>
        <v>0</v>
      </c>
      <c r="Q124" s="2578"/>
      <c r="R124" s="2578"/>
      <c r="S124" s="2577">
        <f>SUM(Z124:AC124)</f>
        <v>190000</v>
      </c>
      <c r="T124" s="2578"/>
      <c r="U124" s="2578"/>
      <c r="V124" s="2578"/>
      <c r="W124" s="2578"/>
      <c r="X124" s="2578"/>
      <c r="Y124" s="2578"/>
      <c r="Z124" s="2577"/>
      <c r="AA124" s="2577"/>
      <c r="AB124" s="2577"/>
      <c r="AC124" s="2577">
        <v>190000</v>
      </c>
      <c r="AD124" s="2576">
        <f>AE124+AF124</f>
        <v>61487.56</v>
      </c>
      <c r="AE124" s="2577"/>
      <c r="AF124" s="2577">
        <f>K124+(L124-S124)</f>
        <v>61487.56</v>
      </c>
      <c r="AG124" s="2577"/>
      <c r="AH124" s="2577"/>
      <c r="AI124" s="2577"/>
      <c r="AJ124" s="2577"/>
      <c r="AK124" s="2577"/>
      <c r="AL124" s="2577"/>
      <c r="AM124" s="2577"/>
      <c r="AN124" s="2577"/>
      <c r="AO124" s="2577"/>
      <c r="AP124" s="2577"/>
      <c r="AQ124" s="2577"/>
      <c r="AR124" s="2577"/>
      <c r="AS124" s="2592"/>
      <c r="AT124" s="2582"/>
      <c r="AU124" s="2582"/>
      <c r="AV124" s="2582"/>
      <c r="AW124" s="2582"/>
      <c r="AX124" s="2582"/>
      <c r="AY124" s="2582"/>
      <c r="AZ124" s="2582"/>
      <c r="BA124" s="2582"/>
      <c r="BB124" s="2582"/>
      <c r="BC124" s="2582"/>
      <c r="BD124" s="2582"/>
      <c r="BE124" s="2582"/>
      <c r="BF124" s="2582"/>
      <c r="BG124" s="2582"/>
      <c r="BH124" s="2582"/>
      <c r="BI124" s="2582"/>
      <c r="BJ124" s="2582"/>
      <c r="BK124" s="2582"/>
      <c r="BL124" s="2582"/>
      <c r="BM124" s="2582"/>
      <c r="BN124" s="2582"/>
      <c r="BO124" s="2582"/>
      <c r="BP124" s="2582"/>
    </row>
    <row r="125" spans="1:68" s="2583" customFormat="1" ht="15" x14ac:dyDescent="0.25">
      <c r="A125" s="2574" t="s">
        <v>23</v>
      </c>
      <c r="B125" s="2575" t="s">
        <v>1119</v>
      </c>
      <c r="C125" s="2576">
        <f t="shared" si="105"/>
        <v>0</v>
      </c>
      <c r="D125" s="2592"/>
      <c r="E125" s="2592"/>
      <c r="F125" s="2592"/>
      <c r="G125" s="2592"/>
      <c r="H125" s="2592"/>
      <c r="I125" s="2592"/>
      <c r="J125" s="2592"/>
      <c r="K125" s="2592"/>
      <c r="L125" s="2577">
        <f t="shared" ref="L125:L126" si="173">M125+P125</f>
        <v>15000</v>
      </c>
      <c r="M125" s="2577">
        <f t="shared" ref="M125:M126" si="174">N125+O125</f>
        <v>15000</v>
      </c>
      <c r="N125" s="2592"/>
      <c r="O125" s="2577">
        <f>10000+5000</f>
        <v>15000</v>
      </c>
      <c r="P125" s="2588">
        <f>W125+X125</f>
        <v>0</v>
      </c>
      <c r="Q125" s="2578"/>
      <c r="R125" s="2578"/>
      <c r="S125" s="2577">
        <f>SUM(Z125:AC125)</f>
        <v>10000</v>
      </c>
      <c r="T125" s="2578"/>
      <c r="U125" s="2578"/>
      <c r="V125" s="2578"/>
      <c r="W125" s="2578"/>
      <c r="X125" s="2578"/>
      <c r="Y125" s="2578"/>
      <c r="Z125" s="2577"/>
      <c r="AA125" s="2577"/>
      <c r="AB125" s="2577"/>
      <c r="AC125" s="2577">
        <v>10000</v>
      </c>
      <c r="AD125" s="2576">
        <f>AE125+AF125</f>
        <v>5000</v>
      </c>
      <c r="AE125" s="2577"/>
      <c r="AF125" s="2577">
        <f>L125-S125</f>
        <v>5000</v>
      </c>
      <c r="AG125" s="2577"/>
      <c r="AH125" s="2577"/>
      <c r="AI125" s="2577"/>
      <c r="AJ125" s="2577"/>
      <c r="AK125" s="2577"/>
      <c r="AL125" s="2577"/>
      <c r="AM125" s="2577"/>
      <c r="AN125" s="2577"/>
      <c r="AO125" s="2577"/>
      <c r="AP125" s="2577"/>
      <c r="AQ125" s="2577"/>
      <c r="AR125" s="2577"/>
      <c r="AS125" s="2592"/>
      <c r="AT125" s="2582"/>
      <c r="AU125" s="2582"/>
      <c r="AV125" s="2582"/>
      <c r="AW125" s="2582"/>
      <c r="AX125" s="2582"/>
      <c r="AY125" s="2582"/>
      <c r="AZ125" s="2582"/>
      <c r="BA125" s="2582"/>
      <c r="BB125" s="2582"/>
      <c r="BC125" s="2582"/>
      <c r="BD125" s="2582"/>
      <c r="BE125" s="2582"/>
      <c r="BF125" s="2582"/>
      <c r="BG125" s="2582"/>
      <c r="BH125" s="2582"/>
      <c r="BI125" s="2582"/>
      <c r="BJ125" s="2582"/>
      <c r="BK125" s="2582"/>
      <c r="BL125" s="2582"/>
      <c r="BM125" s="2582"/>
      <c r="BN125" s="2582"/>
      <c r="BO125" s="2582"/>
      <c r="BP125" s="2582"/>
    </row>
    <row r="126" spans="1:68" s="2583" customFormat="1" ht="15" x14ac:dyDescent="0.25">
      <c r="A126" s="2574" t="s">
        <v>23</v>
      </c>
      <c r="B126" s="2575" t="s">
        <v>502</v>
      </c>
      <c r="C126" s="2576">
        <f t="shared" si="105"/>
        <v>0</v>
      </c>
      <c r="D126" s="2592"/>
      <c r="E126" s="2592"/>
      <c r="F126" s="2592"/>
      <c r="G126" s="2592"/>
      <c r="H126" s="2592"/>
      <c r="I126" s="2592"/>
      <c r="J126" s="2592"/>
      <c r="K126" s="2592"/>
      <c r="L126" s="2577">
        <f t="shared" si="173"/>
        <v>0</v>
      </c>
      <c r="M126" s="2577">
        <f t="shared" si="174"/>
        <v>0</v>
      </c>
      <c r="N126" s="2592"/>
      <c r="O126" s="2577"/>
      <c r="P126" s="2578"/>
      <c r="Q126" s="2578"/>
      <c r="R126" s="2578"/>
      <c r="S126" s="2577"/>
      <c r="T126" s="2578"/>
      <c r="U126" s="2578"/>
      <c r="V126" s="2578"/>
      <c r="W126" s="2578"/>
      <c r="X126" s="2578"/>
      <c r="Y126" s="2578"/>
      <c r="Z126" s="2577"/>
      <c r="AA126" s="2577"/>
      <c r="AB126" s="2577"/>
      <c r="AC126" s="2577"/>
      <c r="AD126" s="2577"/>
      <c r="AE126" s="2577"/>
      <c r="AF126" s="2577"/>
      <c r="AG126" s="2577"/>
      <c r="AH126" s="2577"/>
      <c r="AI126" s="2577"/>
      <c r="AJ126" s="2577"/>
      <c r="AK126" s="2577"/>
      <c r="AL126" s="2577"/>
      <c r="AM126" s="2577"/>
      <c r="AN126" s="2577"/>
      <c r="AO126" s="2577"/>
      <c r="AP126" s="2577"/>
      <c r="AQ126" s="2577"/>
      <c r="AR126" s="2577"/>
      <c r="AS126" s="2592"/>
      <c r="AT126" s="2582"/>
      <c r="AU126" s="2582"/>
      <c r="AV126" s="2582"/>
      <c r="AW126" s="2582"/>
      <c r="AX126" s="2582"/>
      <c r="AY126" s="2582"/>
      <c r="AZ126" s="2582"/>
      <c r="BA126" s="2582"/>
      <c r="BB126" s="2582"/>
      <c r="BC126" s="2582"/>
      <c r="BD126" s="2582"/>
      <c r="BE126" s="2582"/>
      <c r="BF126" s="2582"/>
      <c r="BG126" s="2582"/>
      <c r="BH126" s="2582"/>
      <c r="BI126" s="2582"/>
      <c r="BJ126" s="2582"/>
      <c r="BK126" s="2582"/>
      <c r="BL126" s="2582"/>
      <c r="BM126" s="2582"/>
      <c r="BN126" s="2582"/>
      <c r="BO126" s="2582"/>
      <c r="BP126" s="2582"/>
    </row>
    <row r="127" spans="1:68" s="2583" customFormat="1" ht="60" x14ac:dyDescent="0.25">
      <c r="A127" s="2574" t="s">
        <v>1013</v>
      </c>
      <c r="B127" s="2607" t="s">
        <v>2105</v>
      </c>
      <c r="C127" s="2565">
        <f>SUM(C128:I130)</f>
        <v>0.96799999999999997</v>
      </c>
      <c r="D127" s="2565">
        <f t="shared" ref="D127:AR127" si="175">SUM(D128:J130)</f>
        <v>0</v>
      </c>
      <c r="E127" s="2565">
        <f t="shared" si="175"/>
        <v>0.96799999999999997</v>
      </c>
      <c r="F127" s="2565">
        <f t="shared" si="175"/>
        <v>25000.968000000001</v>
      </c>
      <c r="G127" s="2565">
        <f t="shared" si="175"/>
        <v>50000.968000000001</v>
      </c>
      <c r="H127" s="2565">
        <f t="shared" si="175"/>
        <v>50000.968000000001</v>
      </c>
      <c r="I127" s="2565">
        <f t="shared" si="175"/>
        <v>75000.967999999993</v>
      </c>
      <c r="J127" s="2565">
        <f t="shared" si="175"/>
        <v>75000.967999999993</v>
      </c>
      <c r="K127" s="2565">
        <f t="shared" si="175"/>
        <v>75000.967999999993</v>
      </c>
      <c r="L127" s="2565">
        <f t="shared" si="175"/>
        <v>75000</v>
      </c>
      <c r="M127" s="2565">
        <f t="shared" si="175"/>
        <v>50000</v>
      </c>
      <c r="N127" s="2565">
        <f t="shared" si="175"/>
        <v>25000</v>
      </c>
      <c r="O127" s="2565">
        <f t="shared" si="175"/>
        <v>25000</v>
      </c>
      <c r="P127" s="2587">
        <f t="shared" si="175"/>
        <v>0</v>
      </c>
      <c r="Q127" s="2587">
        <f t="shared" si="175"/>
        <v>0</v>
      </c>
      <c r="R127" s="2587">
        <f t="shared" si="175"/>
        <v>0</v>
      </c>
      <c r="S127" s="2565">
        <f t="shared" si="175"/>
        <v>0</v>
      </c>
      <c r="T127" s="2565">
        <f t="shared" si="175"/>
        <v>0</v>
      </c>
      <c r="U127" s="2565">
        <f t="shared" si="175"/>
        <v>0</v>
      </c>
      <c r="V127" s="2565">
        <f t="shared" si="175"/>
        <v>0</v>
      </c>
      <c r="W127" s="2565">
        <f t="shared" si="175"/>
        <v>0</v>
      </c>
      <c r="X127" s="2565">
        <f t="shared" si="175"/>
        <v>0</v>
      </c>
      <c r="Y127" s="2565">
        <f t="shared" si="175"/>
        <v>0</v>
      </c>
      <c r="Z127" s="2565">
        <f t="shared" si="175"/>
        <v>0</v>
      </c>
      <c r="AA127" s="2565">
        <f t="shared" si="175"/>
        <v>0</v>
      </c>
      <c r="AB127" s="2565">
        <f t="shared" si="175"/>
        <v>0</v>
      </c>
      <c r="AC127" s="2565">
        <f t="shared" si="175"/>
        <v>0</v>
      </c>
      <c r="AD127" s="2565">
        <f t="shared" si="175"/>
        <v>0</v>
      </c>
      <c r="AE127" s="2565">
        <f t="shared" si="175"/>
        <v>0</v>
      </c>
      <c r="AF127" s="2565">
        <f t="shared" si="175"/>
        <v>0</v>
      </c>
      <c r="AG127" s="2565">
        <f t="shared" si="175"/>
        <v>0</v>
      </c>
      <c r="AH127" s="2565">
        <f t="shared" si="175"/>
        <v>0</v>
      </c>
      <c r="AI127" s="2565">
        <f t="shared" si="175"/>
        <v>0</v>
      </c>
      <c r="AJ127" s="2565">
        <f t="shared" si="175"/>
        <v>0</v>
      </c>
      <c r="AK127" s="2565">
        <f t="shared" si="175"/>
        <v>0</v>
      </c>
      <c r="AL127" s="2565">
        <f t="shared" si="175"/>
        <v>25000.968000000001</v>
      </c>
      <c r="AM127" s="2565">
        <f t="shared" si="175"/>
        <v>25000.968000000001</v>
      </c>
      <c r="AN127" s="2565">
        <f t="shared" si="175"/>
        <v>25000.968000000001</v>
      </c>
      <c r="AO127" s="2565">
        <f t="shared" si="175"/>
        <v>25000.968000000001</v>
      </c>
      <c r="AP127" s="2565">
        <f t="shared" si="175"/>
        <v>25000.968000000001</v>
      </c>
      <c r="AQ127" s="2565">
        <f t="shared" si="175"/>
        <v>25000.968000000001</v>
      </c>
      <c r="AR127" s="2565">
        <f t="shared" si="175"/>
        <v>25000.968000000001</v>
      </c>
      <c r="AS127" s="2592"/>
      <c r="AT127" s="2582"/>
      <c r="AU127" s="2582"/>
      <c r="AV127" s="2582"/>
      <c r="AW127" s="2582"/>
      <c r="AX127" s="2582"/>
      <c r="AY127" s="2582"/>
      <c r="AZ127" s="2582"/>
      <c r="BA127" s="2582"/>
      <c r="BB127" s="2582"/>
      <c r="BC127" s="2582"/>
      <c r="BD127" s="2582"/>
      <c r="BE127" s="2582"/>
      <c r="BF127" s="2582"/>
      <c r="BG127" s="2582"/>
      <c r="BH127" s="2582"/>
      <c r="BI127" s="2582"/>
      <c r="BJ127" s="2582"/>
      <c r="BK127" s="2582"/>
      <c r="BL127" s="2582"/>
      <c r="BM127" s="2582"/>
      <c r="BN127" s="2582"/>
      <c r="BO127" s="2582"/>
      <c r="BP127" s="2582"/>
    </row>
    <row r="128" spans="1:68" s="2583" customFormat="1" ht="15" x14ac:dyDescent="0.25">
      <c r="A128" s="2574" t="s">
        <v>23</v>
      </c>
      <c r="B128" s="2575" t="s">
        <v>1118</v>
      </c>
      <c r="C128" s="2576">
        <f t="shared" si="105"/>
        <v>0.96799999999999997</v>
      </c>
      <c r="D128" s="2592"/>
      <c r="E128" s="2592"/>
      <c r="F128" s="2592"/>
      <c r="G128" s="2592"/>
      <c r="H128" s="2592"/>
      <c r="I128" s="2592"/>
      <c r="J128" s="2592"/>
      <c r="K128" s="2592">
        <v>0.96799999999999997</v>
      </c>
      <c r="L128" s="2577">
        <f>M128+P128</f>
        <v>24000</v>
      </c>
      <c r="M128" s="2577">
        <f>N128+O128</f>
        <v>24000</v>
      </c>
      <c r="N128" s="2592"/>
      <c r="O128" s="2577">
        <v>24000</v>
      </c>
      <c r="P128" s="2588">
        <f>W128+X128</f>
        <v>0</v>
      </c>
      <c r="Q128" s="2578"/>
      <c r="R128" s="2578"/>
      <c r="S128" s="2577">
        <f>SUM(Z128:AC128)</f>
        <v>0</v>
      </c>
      <c r="T128" s="2578"/>
      <c r="U128" s="2578"/>
      <c r="V128" s="2578"/>
      <c r="W128" s="2578"/>
      <c r="X128" s="2578"/>
      <c r="Y128" s="2578"/>
      <c r="Z128" s="2577"/>
      <c r="AA128" s="2577"/>
      <c r="AB128" s="2577"/>
      <c r="AC128" s="2577">
        <v>0</v>
      </c>
      <c r="AD128" s="2576">
        <f>AE128+AF128</f>
        <v>0</v>
      </c>
      <c r="AE128" s="2577"/>
      <c r="AF128" s="2577"/>
      <c r="AG128" s="2577"/>
      <c r="AH128" s="2577"/>
      <c r="AI128" s="2577"/>
      <c r="AJ128" s="2577"/>
      <c r="AK128" s="2577"/>
      <c r="AL128" s="2577"/>
      <c r="AM128" s="2577"/>
      <c r="AN128" s="2577"/>
      <c r="AO128" s="2577"/>
      <c r="AP128" s="2577"/>
      <c r="AQ128" s="2577"/>
      <c r="AR128" s="2577">
        <f>C128+L128</f>
        <v>24000.968000000001</v>
      </c>
      <c r="AS128" s="2592"/>
      <c r="AT128" s="2582"/>
      <c r="AU128" s="2582"/>
      <c r="AV128" s="2582"/>
      <c r="AW128" s="2582"/>
      <c r="AX128" s="2582"/>
      <c r="AY128" s="2582"/>
      <c r="AZ128" s="2582"/>
      <c r="BA128" s="2582"/>
      <c r="BB128" s="2582"/>
      <c r="BC128" s="2582"/>
      <c r="BD128" s="2582"/>
      <c r="BE128" s="2582"/>
      <c r="BF128" s="2582"/>
      <c r="BG128" s="2582"/>
      <c r="BH128" s="2582"/>
      <c r="BI128" s="2582"/>
      <c r="BJ128" s="2582"/>
      <c r="BK128" s="2582"/>
      <c r="BL128" s="2582"/>
      <c r="BM128" s="2582"/>
      <c r="BN128" s="2582"/>
      <c r="BO128" s="2582"/>
      <c r="BP128" s="2582"/>
    </row>
    <row r="129" spans="1:68" s="2583" customFormat="1" ht="15" x14ac:dyDescent="0.25">
      <c r="A129" s="2574" t="s">
        <v>23</v>
      </c>
      <c r="B129" s="2575" t="s">
        <v>1119</v>
      </c>
      <c r="C129" s="2576">
        <f t="shared" si="105"/>
        <v>0</v>
      </c>
      <c r="D129" s="2592"/>
      <c r="E129" s="2592"/>
      <c r="F129" s="2592"/>
      <c r="G129" s="2592"/>
      <c r="H129" s="2592"/>
      <c r="I129" s="2592"/>
      <c r="J129" s="2592"/>
      <c r="K129" s="2592"/>
      <c r="L129" s="2577">
        <f t="shared" ref="L129:L130" si="176">M129+P129</f>
        <v>1000</v>
      </c>
      <c r="M129" s="2577">
        <f t="shared" ref="M129:M130" si="177">N129+O129</f>
        <v>1000</v>
      </c>
      <c r="N129" s="2592"/>
      <c r="O129" s="2577">
        <v>1000</v>
      </c>
      <c r="P129" s="2588">
        <f>W129+X129</f>
        <v>0</v>
      </c>
      <c r="Q129" s="2578"/>
      <c r="R129" s="2578"/>
      <c r="S129" s="2577">
        <f>SUM(Z129:AC129)</f>
        <v>0</v>
      </c>
      <c r="T129" s="2578"/>
      <c r="U129" s="2578"/>
      <c r="V129" s="2578"/>
      <c r="W129" s="2578"/>
      <c r="X129" s="2578"/>
      <c r="Y129" s="2578"/>
      <c r="Z129" s="2577"/>
      <c r="AA129" s="2577"/>
      <c r="AB129" s="2577"/>
      <c r="AC129" s="2577">
        <v>0</v>
      </c>
      <c r="AD129" s="2576">
        <f>AE129+AF129</f>
        <v>0</v>
      </c>
      <c r="AE129" s="2577"/>
      <c r="AF129" s="2577"/>
      <c r="AG129" s="2577"/>
      <c r="AH129" s="2577"/>
      <c r="AI129" s="2577"/>
      <c r="AJ129" s="2577"/>
      <c r="AK129" s="2577"/>
      <c r="AL129" s="2577"/>
      <c r="AM129" s="2577"/>
      <c r="AN129" s="2577"/>
      <c r="AO129" s="2577"/>
      <c r="AP129" s="2577"/>
      <c r="AQ129" s="2577"/>
      <c r="AR129" s="2577">
        <f>C129+L129</f>
        <v>1000</v>
      </c>
      <c r="AS129" s="2592"/>
      <c r="AT129" s="2582"/>
      <c r="AU129" s="2582"/>
      <c r="AV129" s="2582"/>
      <c r="AW129" s="2582"/>
      <c r="AX129" s="2582"/>
      <c r="AY129" s="2582"/>
      <c r="AZ129" s="2582"/>
      <c r="BA129" s="2582"/>
      <c r="BB129" s="2582"/>
      <c r="BC129" s="2582"/>
      <c r="BD129" s="2582"/>
      <c r="BE129" s="2582"/>
      <c r="BF129" s="2582"/>
      <c r="BG129" s="2582"/>
      <c r="BH129" s="2582"/>
      <c r="BI129" s="2582"/>
      <c r="BJ129" s="2582"/>
      <c r="BK129" s="2582"/>
      <c r="BL129" s="2582"/>
      <c r="BM129" s="2582"/>
      <c r="BN129" s="2582"/>
      <c r="BO129" s="2582"/>
      <c r="BP129" s="2582"/>
    </row>
    <row r="130" spans="1:68" s="2583" customFormat="1" ht="15" x14ac:dyDescent="0.25">
      <c r="A130" s="2574" t="s">
        <v>23</v>
      </c>
      <c r="B130" s="2575" t="s">
        <v>502</v>
      </c>
      <c r="C130" s="2576">
        <f t="shared" si="105"/>
        <v>0</v>
      </c>
      <c r="D130" s="2592"/>
      <c r="E130" s="2592"/>
      <c r="F130" s="2592"/>
      <c r="G130" s="2592"/>
      <c r="H130" s="2592"/>
      <c r="I130" s="2592"/>
      <c r="J130" s="2592"/>
      <c r="K130" s="2592"/>
      <c r="L130" s="2577">
        <f t="shared" si="176"/>
        <v>0</v>
      </c>
      <c r="M130" s="2577">
        <f t="shared" si="177"/>
        <v>0</v>
      </c>
      <c r="N130" s="2592"/>
      <c r="O130" s="2577"/>
      <c r="P130" s="2578"/>
      <c r="Q130" s="2578"/>
      <c r="R130" s="2578"/>
      <c r="S130" s="2577"/>
      <c r="T130" s="2578"/>
      <c r="U130" s="2578"/>
      <c r="V130" s="2578"/>
      <c r="W130" s="2578"/>
      <c r="X130" s="2578"/>
      <c r="Y130" s="2578"/>
      <c r="Z130" s="2577"/>
      <c r="AA130" s="2577"/>
      <c r="AB130" s="2577"/>
      <c r="AC130" s="2577"/>
      <c r="AD130" s="2577"/>
      <c r="AE130" s="2577"/>
      <c r="AF130" s="2577"/>
      <c r="AG130" s="2577"/>
      <c r="AH130" s="2577"/>
      <c r="AI130" s="2577"/>
      <c r="AJ130" s="2577"/>
      <c r="AK130" s="2577"/>
      <c r="AL130" s="2577"/>
      <c r="AM130" s="2577"/>
      <c r="AN130" s="2577"/>
      <c r="AO130" s="2577"/>
      <c r="AP130" s="2577"/>
      <c r="AQ130" s="2577"/>
      <c r="AR130" s="2577"/>
      <c r="AS130" s="2592"/>
      <c r="AT130" s="2582"/>
      <c r="AU130" s="2582"/>
      <c r="AV130" s="2582"/>
      <c r="AW130" s="2582"/>
      <c r="AX130" s="2582"/>
      <c r="AY130" s="2582"/>
      <c r="AZ130" s="2582"/>
      <c r="BA130" s="2582"/>
      <c r="BB130" s="2582"/>
      <c r="BC130" s="2582"/>
      <c r="BD130" s="2582"/>
      <c r="BE130" s="2582"/>
      <c r="BF130" s="2582"/>
      <c r="BG130" s="2582"/>
      <c r="BH130" s="2582"/>
      <c r="BI130" s="2582"/>
      <c r="BJ130" s="2582"/>
      <c r="BK130" s="2582"/>
      <c r="BL130" s="2582"/>
      <c r="BM130" s="2582"/>
      <c r="BN130" s="2582"/>
      <c r="BO130" s="2582"/>
      <c r="BP130" s="2582"/>
    </row>
    <row r="131" spans="1:68" s="2569" customFormat="1" ht="22.5" customHeight="1" x14ac:dyDescent="0.25">
      <c r="A131" s="2564" t="s">
        <v>4</v>
      </c>
      <c r="B131" s="2571" t="s">
        <v>1124</v>
      </c>
      <c r="C131" s="2565"/>
      <c r="D131" s="2566"/>
      <c r="E131" s="2566"/>
      <c r="F131" s="2566"/>
      <c r="G131" s="2566"/>
      <c r="H131" s="2566"/>
      <c r="I131" s="2566"/>
      <c r="J131" s="2566"/>
      <c r="K131" s="2566"/>
      <c r="L131" s="2566"/>
      <c r="M131" s="2566"/>
      <c r="N131" s="2566"/>
      <c r="O131" s="2566"/>
      <c r="P131" s="2567"/>
      <c r="Q131" s="2567"/>
      <c r="R131" s="2567"/>
      <c r="S131" s="2566"/>
      <c r="T131" s="2567"/>
      <c r="U131" s="2567"/>
      <c r="V131" s="2567"/>
      <c r="W131" s="2567"/>
      <c r="X131" s="2567"/>
      <c r="Y131" s="2567"/>
      <c r="Z131" s="2566"/>
      <c r="AA131" s="2566"/>
      <c r="AB131" s="2566"/>
      <c r="AC131" s="2566"/>
      <c r="AD131" s="2566"/>
      <c r="AE131" s="2566"/>
      <c r="AF131" s="2566"/>
      <c r="AG131" s="2566"/>
      <c r="AH131" s="2566"/>
      <c r="AI131" s="2566"/>
      <c r="AJ131" s="2566"/>
      <c r="AK131" s="2566"/>
      <c r="AL131" s="2566"/>
      <c r="AM131" s="2566"/>
      <c r="AN131" s="2566"/>
      <c r="AO131" s="2566"/>
      <c r="AP131" s="2566"/>
      <c r="AQ131" s="2566"/>
      <c r="AR131" s="2566"/>
      <c r="AS131" s="2566"/>
      <c r="AT131" s="2568"/>
      <c r="AU131" s="2568"/>
      <c r="AV131" s="2568"/>
      <c r="AW131" s="2568"/>
      <c r="AX131" s="2568"/>
      <c r="AY131" s="2568"/>
      <c r="AZ131" s="2568"/>
      <c r="BA131" s="2568"/>
      <c r="BB131" s="2568"/>
      <c r="BC131" s="2568"/>
      <c r="BD131" s="2568"/>
      <c r="BE131" s="2568"/>
      <c r="BF131" s="2568"/>
      <c r="BG131" s="2568"/>
      <c r="BH131" s="2568"/>
      <c r="BI131" s="2568"/>
      <c r="BJ131" s="2568"/>
      <c r="BK131" s="2568"/>
      <c r="BL131" s="2568"/>
      <c r="BM131" s="2568"/>
      <c r="BN131" s="2568"/>
      <c r="BO131" s="2568"/>
      <c r="BP131" s="2568"/>
    </row>
    <row r="132" spans="1:68" s="2598" customFormat="1" ht="49.5" customHeight="1" x14ac:dyDescent="0.25">
      <c r="A132" s="2581">
        <v>1</v>
      </c>
      <c r="B132" s="2575" t="s">
        <v>644</v>
      </c>
      <c r="C132" s="2576"/>
      <c r="D132" s="2577"/>
      <c r="E132" s="2577"/>
      <c r="F132" s="2577"/>
      <c r="G132" s="2577"/>
      <c r="H132" s="2577"/>
      <c r="I132" s="2577"/>
      <c r="J132" s="2577"/>
      <c r="K132" s="2577"/>
      <c r="L132" s="2577">
        <f>M132+P132</f>
        <v>140000</v>
      </c>
      <c r="M132" s="2577">
        <f>N132+O132</f>
        <v>140000</v>
      </c>
      <c r="N132" s="2577"/>
      <c r="O132" s="2577">
        <v>140000</v>
      </c>
      <c r="P132" s="2578"/>
      <c r="Q132" s="2578"/>
      <c r="R132" s="2578"/>
      <c r="S132" s="2577">
        <f>SUM(Z132:AC132)</f>
        <v>139090</v>
      </c>
      <c r="T132" s="2578"/>
      <c r="U132" s="2578"/>
      <c r="V132" s="2578"/>
      <c r="W132" s="2578"/>
      <c r="X132" s="2578"/>
      <c r="Y132" s="2578"/>
      <c r="Z132" s="2577"/>
      <c r="AA132" s="2577"/>
      <c r="AB132" s="2577"/>
      <c r="AC132" s="2577">
        <v>139090</v>
      </c>
      <c r="AD132" s="2577"/>
      <c r="AE132" s="2577"/>
      <c r="AF132" s="2577"/>
      <c r="AG132" s="2577"/>
      <c r="AH132" s="2577"/>
      <c r="AI132" s="2577"/>
      <c r="AJ132" s="2577"/>
      <c r="AK132" s="2577"/>
      <c r="AL132" s="2577"/>
      <c r="AM132" s="2577"/>
      <c r="AN132" s="2577"/>
      <c r="AO132" s="2577"/>
      <c r="AP132" s="2577"/>
      <c r="AQ132" s="2577">
        <v>910</v>
      </c>
      <c r="AR132" s="2577"/>
      <c r="AS132" s="2577"/>
      <c r="AT132" s="2597"/>
      <c r="AU132" s="2597"/>
      <c r="AV132" s="2597"/>
      <c r="AW132" s="2597"/>
      <c r="AX132" s="2597"/>
      <c r="AY132" s="2597"/>
      <c r="AZ132" s="2597"/>
      <c r="BA132" s="2597"/>
      <c r="BB132" s="2597"/>
      <c r="BC132" s="2597"/>
      <c r="BD132" s="2597"/>
      <c r="BE132" s="2597"/>
      <c r="BF132" s="2597"/>
      <c r="BG132" s="2597"/>
      <c r="BH132" s="2597"/>
      <c r="BI132" s="2597"/>
      <c r="BJ132" s="2597"/>
      <c r="BK132" s="2597"/>
      <c r="BL132" s="2597"/>
      <c r="BM132" s="2597"/>
      <c r="BN132" s="2597"/>
      <c r="BO132" s="2597"/>
      <c r="BP132" s="2597"/>
    </row>
    <row r="133" spans="1:68" s="2598" customFormat="1" ht="45" x14ac:dyDescent="0.25">
      <c r="A133" s="2581">
        <v>2</v>
      </c>
      <c r="B133" s="369" t="s">
        <v>645</v>
      </c>
      <c r="C133" s="2576"/>
      <c r="D133" s="2577"/>
      <c r="E133" s="2577"/>
      <c r="F133" s="2577"/>
      <c r="G133" s="2577"/>
      <c r="H133" s="2577"/>
      <c r="I133" s="2577"/>
      <c r="J133" s="2577"/>
      <c r="K133" s="2577"/>
      <c r="L133" s="2577">
        <f t="shared" ref="L133" si="178">M133+P133</f>
        <v>327000</v>
      </c>
      <c r="M133" s="2577">
        <f t="shared" ref="M133:M134" si="179">N133+O133</f>
        <v>327000</v>
      </c>
      <c r="N133" s="2577"/>
      <c r="O133" s="2577">
        <v>327000</v>
      </c>
      <c r="P133" s="2578"/>
      <c r="Q133" s="2578"/>
      <c r="R133" s="2578"/>
      <c r="S133" s="2577">
        <f t="shared" ref="S133:S140" si="180">SUM(Z133:AC133)</f>
        <v>327000</v>
      </c>
      <c r="T133" s="2578"/>
      <c r="U133" s="2578"/>
      <c r="V133" s="2578"/>
      <c r="W133" s="2578"/>
      <c r="X133" s="2578"/>
      <c r="Y133" s="2578"/>
      <c r="Z133" s="2577"/>
      <c r="AA133" s="2577"/>
      <c r="AB133" s="2577"/>
      <c r="AC133" s="2577">
        <v>327000</v>
      </c>
      <c r="AD133" s="2577"/>
      <c r="AE133" s="2577"/>
      <c r="AF133" s="2577"/>
      <c r="AG133" s="2577"/>
      <c r="AH133" s="2577"/>
      <c r="AI133" s="2577"/>
      <c r="AJ133" s="2577"/>
      <c r="AK133" s="2577"/>
      <c r="AL133" s="2577"/>
      <c r="AM133" s="2577"/>
      <c r="AN133" s="2577"/>
      <c r="AO133" s="2577"/>
      <c r="AP133" s="2577"/>
      <c r="AQ133" s="2577"/>
      <c r="AR133" s="2577"/>
      <c r="AS133" s="2577"/>
      <c r="AT133" s="2597"/>
      <c r="AU133" s="2597"/>
      <c r="AV133" s="2597"/>
      <c r="AW133" s="2597"/>
      <c r="AX133" s="2597"/>
      <c r="AY133" s="2597"/>
      <c r="AZ133" s="2597"/>
      <c r="BA133" s="2597"/>
      <c r="BB133" s="2597"/>
      <c r="BC133" s="2597"/>
      <c r="BD133" s="2597"/>
      <c r="BE133" s="2597"/>
      <c r="BF133" s="2597"/>
      <c r="BG133" s="2597"/>
      <c r="BH133" s="2597"/>
      <c r="BI133" s="2597"/>
      <c r="BJ133" s="2597"/>
      <c r="BK133" s="2597"/>
      <c r="BL133" s="2597"/>
      <c r="BM133" s="2597"/>
      <c r="BN133" s="2597"/>
      <c r="BO133" s="2597"/>
      <c r="BP133" s="2597"/>
    </row>
    <row r="134" spans="1:68" s="2598" customFormat="1" ht="30" x14ac:dyDescent="0.25">
      <c r="A134" s="2581">
        <v>3</v>
      </c>
      <c r="B134" s="153" t="s">
        <v>1397</v>
      </c>
      <c r="C134" s="2576"/>
      <c r="D134" s="2577"/>
      <c r="E134" s="2577"/>
      <c r="F134" s="2577"/>
      <c r="G134" s="2577"/>
      <c r="H134" s="2577"/>
      <c r="I134" s="2577"/>
      <c r="J134" s="2577"/>
      <c r="K134" s="2577"/>
      <c r="L134" s="2577">
        <f>M134+P134</f>
        <v>452000</v>
      </c>
      <c r="M134" s="2577">
        <f t="shared" si="179"/>
        <v>452000</v>
      </c>
      <c r="N134" s="2577"/>
      <c r="O134" s="2577">
        <v>452000</v>
      </c>
      <c r="P134" s="2578"/>
      <c r="Q134" s="2578"/>
      <c r="R134" s="2578"/>
      <c r="S134" s="2577">
        <f t="shared" si="180"/>
        <v>276189.29700000002</v>
      </c>
      <c r="T134" s="2578"/>
      <c r="U134" s="2578"/>
      <c r="V134" s="2578"/>
      <c r="W134" s="2578"/>
      <c r="X134" s="2578"/>
      <c r="Y134" s="2578"/>
      <c r="Z134" s="2577"/>
      <c r="AA134" s="2577"/>
      <c r="AB134" s="2577"/>
      <c r="AC134" s="2577">
        <v>276189.29700000002</v>
      </c>
      <c r="AD134" s="2577"/>
      <c r="AE134" s="2577"/>
      <c r="AF134" s="2577"/>
      <c r="AG134" s="2577"/>
      <c r="AH134" s="2577"/>
      <c r="AI134" s="2577"/>
      <c r="AJ134" s="2577"/>
      <c r="AK134" s="2577"/>
      <c r="AL134" s="2577"/>
      <c r="AM134" s="2577"/>
      <c r="AN134" s="2577"/>
      <c r="AO134" s="2577"/>
      <c r="AP134" s="2577"/>
      <c r="AQ134" s="2577">
        <v>175810.70300000001</v>
      </c>
      <c r="AR134" s="2577"/>
      <c r="AS134" s="2577"/>
      <c r="AT134" s="2597"/>
      <c r="AU134" s="2597"/>
      <c r="AV134" s="2597"/>
      <c r="AW134" s="2597"/>
      <c r="AX134" s="2597"/>
      <c r="AY134" s="2597"/>
      <c r="AZ134" s="2597"/>
      <c r="BA134" s="2597"/>
      <c r="BB134" s="2597"/>
      <c r="BC134" s="2597"/>
      <c r="BD134" s="2597"/>
      <c r="BE134" s="2597"/>
      <c r="BF134" s="2597"/>
      <c r="BG134" s="2597"/>
      <c r="BH134" s="2597"/>
      <c r="BI134" s="2597"/>
      <c r="BJ134" s="2597"/>
      <c r="BK134" s="2597"/>
      <c r="BL134" s="2597"/>
      <c r="BM134" s="2597"/>
      <c r="BN134" s="2597"/>
      <c r="BO134" s="2597"/>
      <c r="BP134" s="2597"/>
    </row>
    <row r="135" spans="1:68" s="2626" customFormat="1" ht="83.25" customHeight="1" x14ac:dyDescent="0.25">
      <c r="A135" s="2620"/>
      <c r="B135" s="2621" t="s">
        <v>2161</v>
      </c>
      <c r="C135" s="2622"/>
      <c r="D135" s="2623"/>
      <c r="E135" s="2623"/>
      <c r="F135" s="2623"/>
      <c r="G135" s="2623"/>
      <c r="H135" s="2623"/>
      <c r="I135" s="2623"/>
      <c r="J135" s="2623"/>
      <c r="K135" s="2623"/>
      <c r="L135" s="2623">
        <f t="shared" ref="L135:L140" si="181">M135+P135</f>
        <v>496000</v>
      </c>
      <c r="M135" s="2623">
        <f t="shared" ref="M135:M140" si="182">N135+O135</f>
        <v>496000</v>
      </c>
      <c r="N135" s="2623"/>
      <c r="O135" s="2623">
        <v>496000</v>
      </c>
      <c r="P135" s="2624"/>
      <c r="Q135" s="2624"/>
      <c r="R135" s="2624"/>
      <c r="S135" s="2577">
        <f t="shared" si="180"/>
        <v>0</v>
      </c>
      <c r="T135" s="2624"/>
      <c r="U135" s="2624"/>
      <c r="V135" s="2624"/>
      <c r="W135" s="2624"/>
      <c r="X135" s="2624"/>
      <c r="Y135" s="2624"/>
      <c r="Z135" s="2623"/>
      <c r="AA135" s="2623"/>
      <c r="AB135" s="2623"/>
      <c r="AC135" s="2623"/>
      <c r="AD135" s="2623"/>
      <c r="AE135" s="2623"/>
      <c r="AF135" s="2623"/>
      <c r="AG135" s="2623"/>
      <c r="AH135" s="2623"/>
      <c r="AI135" s="2623"/>
      <c r="AJ135" s="2623"/>
      <c r="AK135" s="2623"/>
      <c r="AL135" s="2623"/>
      <c r="AM135" s="2623"/>
      <c r="AN135" s="2623"/>
      <c r="AO135" s="2623"/>
      <c r="AP135" s="2623"/>
      <c r="AQ135" s="2623">
        <f>L135-AC135</f>
        <v>496000</v>
      </c>
      <c r="AR135" s="2623"/>
      <c r="AS135" s="2623"/>
      <c r="AT135" s="2625"/>
      <c r="AU135" s="2625"/>
      <c r="AV135" s="2625"/>
      <c r="AW135" s="2625"/>
      <c r="AX135" s="2625"/>
      <c r="AY135" s="2625"/>
      <c r="AZ135" s="2625"/>
      <c r="BA135" s="2625"/>
      <c r="BB135" s="2625"/>
      <c r="BC135" s="2625"/>
      <c r="BD135" s="2625"/>
      <c r="BE135" s="2625"/>
      <c r="BF135" s="2625"/>
      <c r="BG135" s="2625"/>
      <c r="BH135" s="2625"/>
      <c r="BI135" s="2625"/>
      <c r="BJ135" s="2625"/>
      <c r="BK135" s="2625"/>
      <c r="BL135" s="2625"/>
      <c r="BM135" s="2625"/>
      <c r="BN135" s="2625"/>
      <c r="BO135" s="2625"/>
      <c r="BP135" s="2625"/>
    </row>
    <row r="136" spans="1:68" s="2626" customFormat="1" ht="60" x14ac:dyDescent="0.25">
      <c r="A136" s="2620"/>
      <c r="B136" s="2627" t="s">
        <v>2157</v>
      </c>
      <c r="C136" s="2622"/>
      <c r="D136" s="2623"/>
      <c r="E136" s="2623"/>
      <c r="F136" s="2623"/>
      <c r="G136" s="2623"/>
      <c r="H136" s="2623"/>
      <c r="I136" s="2623"/>
      <c r="J136" s="2623"/>
      <c r="K136" s="2623"/>
      <c r="L136" s="2623">
        <f t="shared" si="181"/>
        <v>91000</v>
      </c>
      <c r="M136" s="2623">
        <f t="shared" si="182"/>
        <v>91000</v>
      </c>
      <c r="N136" s="2623"/>
      <c r="O136" s="2623">
        <v>91000</v>
      </c>
      <c r="P136" s="2624"/>
      <c r="Q136" s="2624"/>
      <c r="R136" s="2624"/>
      <c r="S136" s="2577">
        <f t="shared" si="180"/>
        <v>91000</v>
      </c>
      <c r="T136" s="2624"/>
      <c r="U136" s="2624"/>
      <c r="V136" s="2624"/>
      <c r="W136" s="2624"/>
      <c r="X136" s="2624"/>
      <c r="Y136" s="2624"/>
      <c r="Z136" s="2623"/>
      <c r="AA136" s="2623"/>
      <c r="AB136" s="2623"/>
      <c r="AC136" s="2623">
        <v>91000</v>
      </c>
      <c r="AD136" s="2623"/>
      <c r="AE136" s="2623"/>
      <c r="AF136" s="2623"/>
      <c r="AG136" s="2623"/>
      <c r="AH136" s="2623"/>
      <c r="AI136" s="2623"/>
      <c r="AJ136" s="2623"/>
      <c r="AK136" s="2623"/>
      <c r="AL136" s="2623"/>
      <c r="AM136" s="2623"/>
      <c r="AN136" s="2623"/>
      <c r="AO136" s="2623"/>
      <c r="AP136" s="2623"/>
      <c r="AQ136" s="2623"/>
      <c r="AR136" s="2623"/>
      <c r="AS136" s="2623"/>
      <c r="AT136" s="2625"/>
      <c r="AU136" s="2625"/>
      <c r="AV136" s="2625"/>
      <c r="AW136" s="2625"/>
      <c r="AX136" s="2625"/>
      <c r="AY136" s="2625"/>
      <c r="AZ136" s="2625"/>
      <c r="BA136" s="2625"/>
      <c r="BB136" s="2625"/>
      <c r="BC136" s="2625"/>
      <c r="BD136" s="2625"/>
      <c r="BE136" s="2625"/>
      <c r="BF136" s="2625"/>
      <c r="BG136" s="2625"/>
      <c r="BH136" s="2625"/>
      <c r="BI136" s="2625"/>
      <c r="BJ136" s="2625"/>
      <c r="BK136" s="2625"/>
      <c r="BL136" s="2625"/>
      <c r="BM136" s="2625"/>
      <c r="BN136" s="2625"/>
      <c r="BO136" s="2625"/>
      <c r="BP136" s="2625"/>
    </row>
    <row r="137" spans="1:68" s="2626" customFormat="1" ht="60" x14ac:dyDescent="0.25">
      <c r="A137" s="2620"/>
      <c r="B137" s="2627" t="s">
        <v>2158</v>
      </c>
      <c r="C137" s="2622"/>
      <c r="D137" s="2623"/>
      <c r="E137" s="2623"/>
      <c r="F137" s="2623"/>
      <c r="G137" s="2623"/>
      <c r="H137" s="2623"/>
      <c r="I137" s="2623"/>
      <c r="J137" s="2623"/>
      <c r="K137" s="2623"/>
      <c r="L137" s="2623">
        <f t="shared" si="181"/>
        <v>211334</v>
      </c>
      <c r="M137" s="2623">
        <f t="shared" si="182"/>
        <v>211334</v>
      </c>
      <c r="N137" s="2623"/>
      <c r="O137" s="2623">
        <v>211334</v>
      </c>
      <c r="P137" s="2624"/>
      <c r="Q137" s="2624"/>
      <c r="R137" s="2624"/>
      <c r="S137" s="2577">
        <f t="shared" si="180"/>
        <v>69417.271999999997</v>
      </c>
      <c r="T137" s="2624"/>
      <c r="U137" s="2624"/>
      <c r="V137" s="2624"/>
      <c r="W137" s="2624"/>
      <c r="X137" s="2624"/>
      <c r="Y137" s="2624"/>
      <c r="Z137" s="2623"/>
      <c r="AA137" s="2623"/>
      <c r="AB137" s="2623"/>
      <c r="AC137" s="2623">
        <v>69417.271999999997</v>
      </c>
      <c r="AD137" s="2623"/>
      <c r="AE137" s="2623"/>
      <c r="AF137" s="2623"/>
      <c r="AG137" s="2623"/>
      <c r="AH137" s="2623"/>
      <c r="AI137" s="2623"/>
      <c r="AJ137" s="2623"/>
      <c r="AK137" s="2623"/>
      <c r="AL137" s="2623"/>
      <c r="AM137" s="2623"/>
      <c r="AN137" s="2623"/>
      <c r="AO137" s="2623"/>
      <c r="AP137" s="2623"/>
      <c r="AQ137" s="2623">
        <f>L137-AC137</f>
        <v>141916.728</v>
      </c>
      <c r="AR137" s="2623"/>
      <c r="AS137" s="2623"/>
      <c r="AT137" s="2625"/>
      <c r="AU137" s="2625"/>
      <c r="AV137" s="2625"/>
      <c r="AW137" s="2625"/>
      <c r="AX137" s="2625"/>
      <c r="AY137" s="2625"/>
      <c r="AZ137" s="2625"/>
      <c r="BA137" s="2625"/>
      <c r="BB137" s="2625"/>
      <c r="BC137" s="2625"/>
      <c r="BD137" s="2625"/>
      <c r="BE137" s="2625"/>
      <c r="BF137" s="2625"/>
      <c r="BG137" s="2625"/>
      <c r="BH137" s="2625"/>
      <c r="BI137" s="2625"/>
      <c r="BJ137" s="2625"/>
      <c r="BK137" s="2625"/>
      <c r="BL137" s="2625"/>
      <c r="BM137" s="2625"/>
      <c r="BN137" s="2625"/>
      <c r="BO137" s="2625"/>
      <c r="BP137" s="2625"/>
    </row>
    <row r="138" spans="1:68" s="2626" customFormat="1" ht="30" x14ac:dyDescent="0.25">
      <c r="A138" s="2620"/>
      <c r="B138" s="2627" t="s">
        <v>2159</v>
      </c>
      <c r="C138" s="2622"/>
      <c r="D138" s="2623"/>
      <c r="E138" s="2623"/>
      <c r="F138" s="2623"/>
      <c r="G138" s="2623"/>
      <c r="H138" s="2623"/>
      <c r="I138" s="2623"/>
      <c r="J138" s="2623"/>
      <c r="K138" s="2623"/>
      <c r="L138" s="2623">
        <f t="shared" si="181"/>
        <v>4300000</v>
      </c>
      <c r="M138" s="2623">
        <f t="shared" si="182"/>
        <v>4300000</v>
      </c>
      <c r="N138" s="2623"/>
      <c r="O138" s="2623">
        <v>4300000</v>
      </c>
      <c r="P138" s="2624"/>
      <c r="Q138" s="2624"/>
      <c r="R138" s="2624"/>
      <c r="S138" s="2577">
        <f t="shared" si="180"/>
        <v>4038380</v>
      </c>
      <c r="T138" s="2624"/>
      <c r="U138" s="2624"/>
      <c r="V138" s="2624"/>
      <c r="W138" s="2624"/>
      <c r="X138" s="2624"/>
      <c r="Y138" s="2624"/>
      <c r="Z138" s="2623"/>
      <c r="AA138" s="2623"/>
      <c r="AB138" s="2623"/>
      <c r="AC138" s="2623">
        <v>4038380</v>
      </c>
      <c r="AD138" s="2623"/>
      <c r="AE138" s="2623"/>
      <c r="AF138" s="2623"/>
      <c r="AG138" s="2623"/>
      <c r="AH138" s="2623"/>
      <c r="AI138" s="2623"/>
      <c r="AJ138" s="2623"/>
      <c r="AK138" s="2623"/>
      <c r="AL138" s="2623"/>
      <c r="AM138" s="2623"/>
      <c r="AN138" s="2623"/>
      <c r="AO138" s="2623"/>
      <c r="AP138" s="2623"/>
      <c r="AQ138" s="2623">
        <f>L138-AC138</f>
        <v>261620</v>
      </c>
      <c r="AR138" s="2623"/>
      <c r="AS138" s="2623"/>
      <c r="AT138" s="2625"/>
      <c r="AU138" s="2625"/>
      <c r="AV138" s="2625"/>
      <c r="AW138" s="2625"/>
      <c r="AX138" s="2625"/>
      <c r="AY138" s="2625"/>
      <c r="AZ138" s="2625"/>
      <c r="BA138" s="2625"/>
      <c r="BB138" s="2625"/>
      <c r="BC138" s="2625"/>
      <c r="BD138" s="2625"/>
      <c r="BE138" s="2625"/>
      <c r="BF138" s="2625"/>
      <c r="BG138" s="2625"/>
      <c r="BH138" s="2625"/>
      <c r="BI138" s="2625"/>
      <c r="BJ138" s="2625"/>
      <c r="BK138" s="2625"/>
      <c r="BL138" s="2625"/>
      <c r="BM138" s="2625"/>
      <c r="BN138" s="2625"/>
      <c r="BO138" s="2625"/>
      <c r="BP138" s="2625"/>
    </row>
    <row r="139" spans="1:68" s="2626" customFormat="1" ht="83.25" customHeight="1" x14ac:dyDescent="0.25">
      <c r="A139" s="2620"/>
      <c r="B139" s="2627" t="s">
        <v>2160</v>
      </c>
      <c r="C139" s="2622"/>
      <c r="D139" s="2623"/>
      <c r="E139" s="2623"/>
      <c r="F139" s="2623"/>
      <c r="G139" s="2623"/>
      <c r="H139" s="2623"/>
      <c r="I139" s="2623"/>
      <c r="J139" s="2623"/>
      <c r="K139" s="2623"/>
      <c r="L139" s="2623">
        <f t="shared" si="181"/>
        <v>312000</v>
      </c>
      <c r="M139" s="2623">
        <f t="shared" si="182"/>
        <v>312000</v>
      </c>
      <c r="N139" s="2623"/>
      <c r="O139" s="2623">
        <v>312000</v>
      </c>
      <c r="P139" s="2624"/>
      <c r="Q139" s="2624"/>
      <c r="R139" s="2624"/>
      <c r="S139" s="2577">
        <f t="shared" si="180"/>
        <v>205400</v>
      </c>
      <c r="T139" s="2624"/>
      <c r="U139" s="2624"/>
      <c r="V139" s="2624"/>
      <c r="W139" s="2624"/>
      <c r="X139" s="2624"/>
      <c r="Y139" s="2624"/>
      <c r="Z139" s="2623"/>
      <c r="AA139" s="2623"/>
      <c r="AB139" s="2623"/>
      <c r="AC139" s="2623">
        <v>205400</v>
      </c>
      <c r="AD139" s="2623"/>
      <c r="AE139" s="2623"/>
      <c r="AF139" s="2623"/>
      <c r="AG139" s="2623"/>
      <c r="AH139" s="2623"/>
      <c r="AI139" s="2623"/>
      <c r="AJ139" s="2623"/>
      <c r="AK139" s="2623"/>
      <c r="AL139" s="2623"/>
      <c r="AM139" s="2623"/>
      <c r="AN139" s="2623"/>
      <c r="AO139" s="2623"/>
      <c r="AP139" s="2623"/>
      <c r="AQ139" s="2623">
        <f>L139-AC139</f>
        <v>106600</v>
      </c>
      <c r="AR139" s="2623"/>
      <c r="AS139" s="2623"/>
      <c r="AT139" s="2625"/>
      <c r="AU139" s="2625"/>
      <c r="AV139" s="2625"/>
      <c r="AW139" s="2625"/>
      <c r="AX139" s="2625"/>
      <c r="AY139" s="2625"/>
      <c r="AZ139" s="2625"/>
      <c r="BA139" s="2625"/>
      <c r="BB139" s="2625"/>
      <c r="BC139" s="2625"/>
      <c r="BD139" s="2625"/>
      <c r="BE139" s="2625"/>
      <c r="BF139" s="2625"/>
      <c r="BG139" s="2625"/>
      <c r="BH139" s="2625"/>
      <c r="BI139" s="2625"/>
      <c r="BJ139" s="2625"/>
      <c r="BK139" s="2625"/>
      <c r="BL139" s="2625"/>
      <c r="BM139" s="2625"/>
      <c r="BN139" s="2625"/>
      <c r="BO139" s="2625"/>
      <c r="BP139" s="2625"/>
    </row>
    <row r="140" spans="1:68" s="2626" customFormat="1" ht="45" x14ac:dyDescent="0.25">
      <c r="A140" s="2620"/>
      <c r="B140" s="2627" t="s">
        <v>2162</v>
      </c>
      <c r="C140" s="2622"/>
      <c r="D140" s="2623"/>
      <c r="E140" s="2623"/>
      <c r="F140" s="2623"/>
      <c r="G140" s="2623"/>
      <c r="H140" s="2623"/>
      <c r="I140" s="2623"/>
      <c r="J140" s="2623"/>
      <c r="K140" s="2623"/>
      <c r="L140" s="2623">
        <f t="shared" si="181"/>
        <v>1295800</v>
      </c>
      <c r="M140" s="2623">
        <f t="shared" si="182"/>
        <v>1295800</v>
      </c>
      <c r="N140" s="2623"/>
      <c r="O140" s="2623">
        <v>1295800</v>
      </c>
      <c r="P140" s="2624"/>
      <c r="Q140" s="2624"/>
      <c r="R140" s="2624"/>
      <c r="S140" s="2577">
        <f t="shared" si="180"/>
        <v>1295800</v>
      </c>
      <c r="T140" s="2624"/>
      <c r="U140" s="2624"/>
      <c r="V140" s="2624"/>
      <c r="W140" s="2624"/>
      <c r="X140" s="2624"/>
      <c r="Y140" s="2624"/>
      <c r="Z140" s="2623"/>
      <c r="AA140" s="2623"/>
      <c r="AB140" s="2623"/>
      <c r="AC140" s="2623">
        <v>1295800</v>
      </c>
      <c r="AD140" s="2623"/>
      <c r="AE140" s="2623"/>
      <c r="AF140" s="2623"/>
      <c r="AG140" s="2623"/>
      <c r="AH140" s="2623"/>
      <c r="AI140" s="2623"/>
      <c r="AJ140" s="2623"/>
      <c r="AK140" s="2623"/>
      <c r="AL140" s="2623"/>
      <c r="AM140" s="2623"/>
      <c r="AN140" s="2623"/>
      <c r="AO140" s="2623"/>
      <c r="AP140" s="2623"/>
      <c r="AQ140" s="2623"/>
      <c r="AR140" s="2623"/>
      <c r="AS140" s="2623"/>
      <c r="AT140" s="2625"/>
      <c r="AU140" s="2625"/>
      <c r="AV140" s="2625"/>
      <c r="AW140" s="2625"/>
      <c r="AX140" s="2625"/>
      <c r="AY140" s="2625"/>
      <c r="AZ140" s="2625"/>
      <c r="BA140" s="2625"/>
      <c r="BB140" s="2625"/>
      <c r="BC140" s="2625"/>
      <c r="BD140" s="2625"/>
      <c r="BE140" s="2625"/>
      <c r="BF140" s="2625"/>
      <c r="BG140" s="2625"/>
      <c r="BH140" s="2625"/>
      <c r="BI140" s="2625"/>
      <c r="BJ140" s="2625"/>
      <c r="BK140" s="2625"/>
      <c r="BL140" s="2625"/>
      <c r="BM140" s="2625"/>
      <c r="BN140" s="2625"/>
      <c r="BO140" s="2625"/>
      <c r="BP140" s="2625"/>
    </row>
    <row r="141" spans="1:68" s="2598" customFormat="1" ht="76.5" x14ac:dyDescent="0.25">
      <c r="A141" s="2581">
        <v>4</v>
      </c>
      <c r="B141" s="1356" t="s">
        <v>1413</v>
      </c>
      <c r="C141" s="2576"/>
      <c r="D141" s="2577"/>
      <c r="E141" s="2577"/>
      <c r="F141" s="2577"/>
      <c r="G141" s="2577"/>
      <c r="H141" s="2577"/>
      <c r="I141" s="2577"/>
      <c r="J141" s="2577"/>
      <c r="K141" s="2577"/>
      <c r="L141" s="2577">
        <f t="shared" ref="L141:L171" si="183">M141+P141</f>
        <v>14278361</v>
      </c>
      <c r="M141" s="2577"/>
      <c r="N141" s="2577"/>
      <c r="O141" s="2577"/>
      <c r="P141" s="2578">
        <f>Q141+R141</f>
        <v>14278361</v>
      </c>
      <c r="Q141" s="2578"/>
      <c r="R141" s="1826">
        <v>14278361</v>
      </c>
      <c r="S141" s="2577"/>
      <c r="T141" s="2578"/>
      <c r="U141" s="2578"/>
      <c r="V141" s="2578"/>
      <c r="W141" s="2578"/>
      <c r="X141" s="2578"/>
      <c r="Y141" s="2578"/>
      <c r="Z141" s="2577"/>
      <c r="AA141" s="2577"/>
      <c r="AB141" s="2577"/>
      <c r="AC141" s="2577">
        <v>14278361</v>
      </c>
      <c r="AD141" s="2577"/>
      <c r="AE141" s="2577"/>
      <c r="AF141" s="2577"/>
      <c r="AG141" s="2577"/>
      <c r="AH141" s="2577"/>
      <c r="AI141" s="2577"/>
      <c r="AJ141" s="2577"/>
      <c r="AK141" s="2577"/>
      <c r="AL141" s="2577"/>
      <c r="AM141" s="2577"/>
      <c r="AN141" s="2577"/>
      <c r="AO141" s="2577"/>
      <c r="AP141" s="2577"/>
      <c r="AQ141" s="2577"/>
      <c r="AR141" s="2577"/>
      <c r="AS141" s="2577"/>
      <c r="AT141" s="2597"/>
      <c r="AU141" s="2597"/>
      <c r="AV141" s="2597"/>
      <c r="AW141" s="2597"/>
      <c r="AX141" s="2597"/>
      <c r="AY141" s="2597"/>
      <c r="AZ141" s="2597"/>
      <c r="BA141" s="2597"/>
      <c r="BB141" s="2597"/>
      <c r="BC141" s="2597"/>
      <c r="BD141" s="2597"/>
      <c r="BE141" s="2597"/>
      <c r="BF141" s="2597"/>
      <c r="BG141" s="2597"/>
      <c r="BH141" s="2597"/>
      <c r="BI141" s="2597"/>
      <c r="BJ141" s="2597"/>
      <c r="BK141" s="2597"/>
      <c r="BL141" s="2597"/>
      <c r="BM141" s="2597"/>
      <c r="BN141" s="2597"/>
      <c r="BO141" s="2597"/>
      <c r="BP141" s="2597"/>
    </row>
    <row r="142" spans="1:68" s="2598" customFormat="1" ht="76.5" x14ac:dyDescent="0.25">
      <c r="A142" s="2581">
        <v>5</v>
      </c>
      <c r="B142" s="1356" t="s">
        <v>1412</v>
      </c>
      <c r="C142" s="2576"/>
      <c r="D142" s="2577"/>
      <c r="E142" s="2577"/>
      <c r="F142" s="2577"/>
      <c r="G142" s="2577"/>
      <c r="H142" s="2577"/>
      <c r="I142" s="2577"/>
      <c r="J142" s="2577"/>
      <c r="K142" s="2577"/>
      <c r="L142" s="2577">
        <f t="shared" si="183"/>
        <v>1500000</v>
      </c>
      <c r="M142" s="2577"/>
      <c r="N142" s="2577"/>
      <c r="O142" s="2577"/>
      <c r="P142" s="2578">
        <f t="shared" ref="P142:P171" si="184">Q142+R142</f>
        <v>1500000</v>
      </c>
      <c r="Q142" s="2578"/>
      <c r="R142" s="1826">
        <v>1500000</v>
      </c>
      <c r="S142" s="2577"/>
      <c r="T142" s="2578"/>
      <c r="U142" s="2578"/>
      <c r="V142" s="2578"/>
      <c r="W142" s="2578"/>
      <c r="X142" s="2578"/>
      <c r="Y142" s="2578"/>
      <c r="Z142" s="2577"/>
      <c r="AA142" s="2577"/>
      <c r="AB142" s="2577"/>
      <c r="AC142" s="2577">
        <v>1500000</v>
      </c>
      <c r="AD142" s="2577"/>
      <c r="AE142" s="2577"/>
      <c r="AF142" s="2577"/>
      <c r="AG142" s="2577"/>
      <c r="AH142" s="2577"/>
      <c r="AI142" s="2577"/>
      <c r="AJ142" s="2577"/>
      <c r="AK142" s="2577"/>
      <c r="AL142" s="2577"/>
      <c r="AM142" s="2577"/>
      <c r="AN142" s="2577"/>
      <c r="AO142" s="2577"/>
      <c r="AP142" s="2577"/>
      <c r="AQ142" s="2577"/>
      <c r="AR142" s="2577"/>
      <c r="AS142" s="2577"/>
      <c r="AT142" s="2597"/>
      <c r="AU142" s="2597"/>
      <c r="AV142" s="2597"/>
      <c r="AW142" s="2597"/>
      <c r="AX142" s="2597"/>
      <c r="AY142" s="2597"/>
      <c r="AZ142" s="2597"/>
      <c r="BA142" s="2597"/>
      <c r="BB142" s="2597"/>
      <c r="BC142" s="2597"/>
      <c r="BD142" s="2597"/>
      <c r="BE142" s="2597"/>
      <c r="BF142" s="2597"/>
      <c r="BG142" s="2597"/>
      <c r="BH142" s="2597"/>
      <c r="BI142" s="2597"/>
      <c r="BJ142" s="2597"/>
      <c r="BK142" s="2597"/>
      <c r="BL142" s="2597"/>
      <c r="BM142" s="2597"/>
      <c r="BN142" s="2597"/>
      <c r="BO142" s="2597"/>
      <c r="BP142" s="2597"/>
    </row>
    <row r="143" spans="1:68" s="2598" customFormat="1" ht="51" x14ac:dyDescent="0.25">
      <c r="A143" s="2581">
        <v>6</v>
      </c>
      <c r="B143" s="1356" t="s">
        <v>1411</v>
      </c>
      <c r="C143" s="2576"/>
      <c r="D143" s="2577"/>
      <c r="E143" s="2577"/>
      <c r="F143" s="2577"/>
      <c r="G143" s="2577"/>
      <c r="H143" s="2577"/>
      <c r="I143" s="2577"/>
      <c r="J143" s="2577"/>
      <c r="K143" s="2577"/>
      <c r="L143" s="2577">
        <f t="shared" si="183"/>
        <v>2299400</v>
      </c>
      <c r="M143" s="2577"/>
      <c r="N143" s="2577"/>
      <c r="O143" s="2577"/>
      <c r="P143" s="2578">
        <f t="shared" si="184"/>
        <v>2299400</v>
      </c>
      <c r="Q143" s="2578"/>
      <c r="R143" s="1826">
        <f>2269400+30000</f>
        <v>2299400</v>
      </c>
      <c r="S143" s="2577"/>
      <c r="T143" s="2578"/>
      <c r="U143" s="2578"/>
      <c r="V143" s="2578"/>
      <c r="W143" s="2578"/>
      <c r="X143" s="2578"/>
      <c r="Y143" s="2578"/>
      <c r="Z143" s="2577"/>
      <c r="AA143" s="2577"/>
      <c r="AB143" s="2577"/>
      <c r="AC143" s="2577">
        <v>2298700</v>
      </c>
      <c r="AD143" s="2577"/>
      <c r="AE143" s="2577"/>
      <c r="AF143" s="2577"/>
      <c r="AG143" s="2577"/>
      <c r="AH143" s="2577"/>
      <c r="AI143" s="2577"/>
      <c r="AJ143" s="2577"/>
      <c r="AK143" s="2577"/>
      <c r="AL143" s="2577"/>
      <c r="AM143" s="2577"/>
      <c r="AN143" s="2577"/>
      <c r="AO143" s="2577"/>
      <c r="AP143" s="2577"/>
      <c r="AQ143" s="2577">
        <f>L143-AC143</f>
        <v>700</v>
      </c>
      <c r="AR143" s="2577"/>
      <c r="AS143" s="2577"/>
      <c r="AT143" s="2597"/>
      <c r="AU143" s="2597"/>
      <c r="AV143" s="2597"/>
      <c r="AW143" s="2597"/>
      <c r="AX143" s="2597"/>
      <c r="AY143" s="2597"/>
      <c r="AZ143" s="2597"/>
      <c r="BA143" s="2597"/>
      <c r="BB143" s="2597"/>
      <c r="BC143" s="2597"/>
      <c r="BD143" s="2597"/>
      <c r="BE143" s="2597"/>
      <c r="BF143" s="2597"/>
      <c r="BG143" s="2597"/>
      <c r="BH143" s="2597"/>
      <c r="BI143" s="2597"/>
      <c r="BJ143" s="2597"/>
      <c r="BK143" s="2597"/>
      <c r="BL143" s="2597"/>
      <c r="BM143" s="2597"/>
      <c r="BN143" s="2597"/>
      <c r="BO143" s="2597"/>
      <c r="BP143" s="2597"/>
    </row>
    <row r="144" spans="1:68" s="2598" customFormat="1" ht="76.5" x14ac:dyDescent="0.25">
      <c r="A144" s="2581">
        <v>7</v>
      </c>
      <c r="B144" s="1356" t="s">
        <v>1410</v>
      </c>
      <c r="C144" s="2576"/>
      <c r="D144" s="2577"/>
      <c r="E144" s="2577"/>
      <c r="F144" s="2577"/>
      <c r="G144" s="2577"/>
      <c r="H144" s="2577"/>
      <c r="I144" s="2577"/>
      <c r="J144" s="2577"/>
      <c r="K144" s="2577"/>
      <c r="L144" s="2577">
        <f t="shared" si="183"/>
        <v>22095652.453000002</v>
      </c>
      <c r="M144" s="2577"/>
      <c r="N144" s="2577"/>
      <c r="O144" s="2577"/>
      <c r="P144" s="2578">
        <f t="shared" si="184"/>
        <v>22095652.453000002</v>
      </c>
      <c r="Q144" s="2578"/>
      <c r="R144" s="1826">
        <v>22095652.453000002</v>
      </c>
      <c r="S144" s="2577"/>
      <c r="T144" s="2578"/>
      <c r="U144" s="2578"/>
      <c r="V144" s="2578"/>
      <c r="W144" s="2578"/>
      <c r="X144" s="2578"/>
      <c r="Y144" s="2578"/>
      <c r="Z144" s="2577"/>
      <c r="AA144" s="2577"/>
      <c r="AB144" s="2577"/>
      <c r="AC144" s="2577">
        <v>22095652.453000002</v>
      </c>
      <c r="AD144" s="2577"/>
      <c r="AE144" s="2577"/>
      <c r="AF144" s="2577"/>
      <c r="AG144" s="2577"/>
      <c r="AH144" s="2577"/>
      <c r="AI144" s="2577"/>
      <c r="AJ144" s="2577"/>
      <c r="AK144" s="2577"/>
      <c r="AL144" s="2577"/>
      <c r="AM144" s="2577"/>
      <c r="AN144" s="2577"/>
      <c r="AO144" s="2577"/>
      <c r="AP144" s="2577"/>
      <c r="AQ144" s="2577"/>
      <c r="AR144" s="2577"/>
      <c r="AS144" s="2577"/>
      <c r="AT144" s="2597"/>
      <c r="AU144" s="2597"/>
      <c r="AV144" s="2597"/>
      <c r="AW144" s="2597"/>
      <c r="AX144" s="2597"/>
      <c r="AY144" s="2597"/>
      <c r="AZ144" s="2597"/>
      <c r="BA144" s="2597"/>
      <c r="BB144" s="2597"/>
      <c r="BC144" s="2597"/>
      <c r="BD144" s="2597"/>
      <c r="BE144" s="2597"/>
      <c r="BF144" s="2597"/>
      <c r="BG144" s="2597"/>
      <c r="BH144" s="2597"/>
      <c r="BI144" s="2597"/>
      <c r="BJ144" s="2597"/>
      <c r="BK144" s="2597"/>
      <c r="BL144" s="2597"/>
      <c r="BM144" s="2597"/>
      <c r="BN144" s="2597"/>
      <c r="BO144" s="2597"/>
      <c r="BP144" s="2597"/>
    </row>
    <row r="145" spans="1:68" s="2598" customFormat="1" ht="76.5" x14ac:dyDescent="0.25">
      <c r="A145" s="2581">
        <v>8</v>
      </c>
      <c r="B145" s="1356" t="s">
        <v>1409</v>
      </c>
      <c r="C145" s="2576"/>
      <c r="D145" s="2577"/>
      <c r="E145" s="2577"/>
      <c r="F145" s="2577"/>
      <c r="G145" s="2577"/>
      <c r="H145" s="2577"/>
      <c r="I145" s="2577"/>
      <c r="J145" s="2577"/>
      <c r="K145" s="2577"/>
      <c r="L145" s="2577">
        <f t="shared" si="183"/>
        <v>5793053.7019999996</v>
      </c>
      <c r="M145" s="2577"/>
      <c r="N145" s="2577"/>
      <c r="O145" s="2577"/>
      <c r="P145" s="2578">
        <f t="shared" si="184"/>
        <v>5793053.7019999996</v>
      </c>
      <c r="Q145" s="2578"/>
      <c r="R145" s="1826">
        <v>5793053.7019999996</v>
      </c>
      <c r="S145" s="2577"/>
      <c r="T145" s="2578"/>
      <c r="U145" s="2578"/>
      <c r="V145" s="2578"/>
      <c r="W145" s="2578"/>
      <c r="X145" s="2578"/>
      <c r="Y145" s="2578"/>
      <c r="Z145" s="2577"/>
      <c r="AA145" s="2577"/>
      <c r="AB145" s="2577"/>
      <c r="AC145" s="2577">
        <v>5793053.7019999996</v>
      </c>
      <c r="AD145" s="2577"/>
      <c r="AE145" s="2577"/>
      <c r="AF145" s="2577"/>
      <c r="AG145" s="2577"/>
      <c r="AH145" s="2577"/>
      <c r="AI145" s="2577"/>
      <c r="AJ145" s="2577"/>
      <c r="AK145" s="2577"/>
      <c r="AL145" s="2577"/>
      <c r="AM145" s="2577"/>
      <c r="AN145" s="2577"/>
      <c r="AO145" s="2577"/>
      <c r="AP145" s="2577"/>
      <c r="AQ145" s="2577"/>
      <c r="AR145" s="2577"/>
      <c r="AS145" s="2577"/>
      <c r="AT145" s="2597"/>
      <c r="AU145" s="2597"/>
      <c r="AV145" s="2597"/>
      <c r="AW145" s="2597"/>
      <c r="AX145" s="2597"/>
      <c r="AY145" s="2597"/>
      <c r="AZ145" s="2597"/>
      <c r="BA145" s="2597"/>
      <c r="BB145" s="2597"/>
      <c r="BC145" s="2597"/>
      <c r="BD145" s="2597"/>
      <c r="BE145" s="2597"/>
      <c r="BF145" s="2597"/>
      <c r="BG145" s="2597"/>
      <c r="BH145" s="2597"/>
      <c r="BI145" s="2597"/>
      <c r="BJ145" s="2597"/>
      <c r="BK145" s="2597"/>
      <c r="BL145" s="2597"/>
      <c r="BM145" s="2597"/>
      <c r="BN145" s="2597"/>
      <c r="BO145" s="2597"/>
      <c r="BP145" s="2597"/>
    </row>
    <row r="146" spans="1:68" s="2598" customFormat="1" ht="63.75" x14ac:dyDescent="0.25">
      <c r="A146" s="2581">
        <v>9</v>
      </c>
      <c r="B146" s="1356" t="s">
        <v>1414</v>
      </c>
      <c r="C146" s="2576"/>
      <c r="D146" s="2577"/>
      <c r="E146" s="2577"/>
      <c r="F146" s="2577"/>
      <c r="G146" s="2577"/>
      <c r="H146" s="2577"/>
      <c r="I146" s="2577"/>
      <c r="J146" s="2577"/>
      <c r="K146" s="2577"/>
      <c r="L146" s="2577">
        <f t="shared" si="183"/>
        <v>1500000</v>
      </c>
      <c r="M146" s="2577"/>
      <c r="N146" s="2577"/>
      <c r="O146" s="2577"/>
      <c r="P146" s="2578">
        <f t="shared" si="184"/>
        <v>1500000</v>
      </c>
      <c r="Q146" s="2578"/>
      <c r="R146" s="1826">
        <v>1500000</v>
      </c>
      <c r="S146" s="2577"/>
      <c r="T146" s="2578"/>
      <c r="U146" s="2578"/>
      <c r="V146" s="2578"/>
      <c r="W146" s="2578"/>
      <c r="X146" s="2578"/>
      <c r="Y146" s="2578"/>
      <c r="Z146" s="2577"/>
      <c r="AA146" s="2577"/>
      <c r="AB146" s="2577"/>
      <c r="AC146" s="2577">
        <v>1467442.355</v>
      </c>
      <c r="AD146" s="2577"/>
      <c r="AE146" s="2577"/>
      <c r="AF146" s="2577"/>
      <c r="AG146" s="2577"/>
      <c r="AH146" s="2577"/>
      <c r="AI146" s="2577"/>
      <c r="AJ146" s="2577"/>
      <c r="AK146" s="2577"/>
      <c r="AL146" s="2577"/>
      <c r="AM146" s="2577"/>
      <c r="AN146" s="2577"/>
      <c r="AO146" s="2577"/>
      <c r="AP146" s="2577"/>
      <c r="AQ146" s="2577">
        <f>L146-AC146</f>
        <v>32557.645000000019</v>
      </c>
      <c r="AR146" s="2577"/>
      <c r="AS146" s="2577"/>
      <c r="AT146" s="2597"/>
      <c r="AU146" s="2597"/>
      <c r="AV146" s="2597"/>
      <c r="AW146" s="2597"/>
      <c r="AX146" s="2597"/>
      <c r="AY146" s="2597"/>
      <c r="AZ146" s="2597"/>
      <c r="BA146" s="2597"/>
      <c r="BB146" s="2597"/>
      <c r="BC146" s="2597"/>
      <c r="BD146" s="2597"/>
      <c r="BE146" s="2597"/>
      <c r="BF146" s="2597"/>
      <c r="BG146" s="2597"/>
      <c r="BH146" s="2597"/>
      <c r="BI146" s="2597"/>
      <c r="BJ146" s="2597"/>
      <c r="BK146" s="2597"/>
      <c r="BL146" s="2597"/>
      <c r="BM146" s="2597"/>
      <c r="BN146" s="2597"/>
      <c r="BO146" s="2597"/>
      <c r="BP146" s="2597"/>
    </row>
    <row r="147" spans="1:68" s="2598" customFormat="1" ht="63.75" x14ac:dyDescent="0.25">
      <c r="A147" s="2581">
        <v>10</v>
      </c>
      <c r="B147" s="1356" t="s">
        <v>1408</v>
      </c>
      <c r="C147" s="2576"/>
      <c r="D147" s="2577"/>
      <c r="E147" s="2577"/>
      <c r="F147" s="2577"/>
      <c r="G147" s="2577"/>
      <c r="H147" s="2577"/>
      <c r="I147" s="2577"/>
      <c r="J147" s="2577"/>
      <c r="K147" s="2577"/>
      <c r="L147" s="2577">
        <f t="shared" si="183"/>
        <v>6950470</v>
      </c>
      <c r="M147" s="2577"/>
      <c r="N147" s="2577"/>
      <c r="O147" s="2577"/>
      <c r="P147" s="2578">
        <f t="shared" si="184"/>
        <v>6950470</v>
      </c>
      <c r="Q147" s="2578"/>
      <c r="R147" s="1826">
        <v>6950470</v>
      </c>
      <c r="S147" s="2577"/>
      <c r="T147" s="2578"/>
      <c r="U147" s="2578"/>
      <c r="V147" s="2578"/>
      <c r="W147" s="2578"/>
      <c r="X147" s="2578"/>
      <c r="Y147" s="2578"/>
      <c r="Z147" s="2577"/>
      <c r="AA147" s="2577"/>
      <c r="AB147" s="2577"/>
      <c r="AC147" s="2577">
        <v>6950470</v>
      </c>
      <c r="AD147" s="2577"/>
      <c r="AE147" s="2577"/>
      <c r="AF147" s="2577"/>
      <c r="AG147" s="2577"/>
      <c r="AH147" s="2577"/>
      <c r="AI147" s="2577"/>
      <c r="AJ147" s="2577"/>
      <c r="AK147" s="2577"/>
      <c r="AL147" s="2577"/>
      <c r="AM147" s="2577"/>
      <c r="AN147" s="2577"/>
      <c r="AO147" s="2577"/>
      <c r="AP147" s="2577"/>
      <c r="AQ147" s="2577"/>
      <c r="AR147" s="2577"/>
      <c r="AS147" s="2577"/>
      <c r="AT147" s="2597"/>
      <c r="AU147" s="2597"/>
      <c r="AV147" s="2597"/>
      <c r="AW147" s="2597"/>
      <c r="AX147" s="2597"/>
      <c r="AY147" s="2597"/>
      <c r="AZ147" s="2597"/>
      <c r="BA147" s="2597"/>
      <c r="BB147" s="2597"/>
      <c r="BC147" s="2597"/>
      <c r="BD147" s="2597"/>
      <c r="BE147" s="2597"/>
      <c r="BF147" s="2597"/>
      <c r="BG147" s="2597"/>
      <c r="BH147" s="2597"/>
      <c r="BI147" s="2597"/>
      <c r="BJ147" s="2597"/>
      <c r="BK147" s="2597"/>
      <c r="BL147" s="2597"/>
      <c r="BM147" s="2597"/>
      <c r="BN147" s="2597"/>
      <c r="BO147" s="2597"/>
      <c r="BP147" s="2597"/>
    </row>
    <row r="148" spans="1:68" s="2598" customFormat="1" ht="102" x14ac:dyDescent="0.25">
      <c r="A148" s="2581">
        <v>11</v>
      </c>
      <c r="B148" s="1356" t="s">
        <v>1407</v>
      </c>
      <c r="C148" s="2576"/>
      <c r="D148" s="2577"/>
      <c r="E148" s="2577"/>
      <c r="F148" s="2577"/>
      <c r="G148" s="2577"/>
      <c r="H148" s="2577"/>
      <c r="I148" s="2577"/>
      <c r="J148" s="2577"/>
      <c r="K148" s="2577"/>
      <c r="L148" s="2577">
        <f t="shared" si="183"/>
        <v>5502921.8609999996</v>
      </c>
      <c r="M148" s="2577"/>
      <c r="N148" s="2577"/>
      <c r="O148" s="2577"/>
      <c r="P148" s="2578">
        <f t="shared" si="184"/>
        <v>5502921.8609999996</v>
      </c>
      <c r="Q148" s="2578"/>
      <c r="R148" s="1826">
        <v>5502921.8609999996</v>
      </c>
      <c r="S148" s="2577"/>
      <c r="T148" s="2578"/>
      <c r="U148" s="2578"/>
      <c r="V148" s="2578"/>
      <c r="W148" s="2578"/>
      <c r="X148" s="2578"/>
      <c r="Y148" s="2578"/>
      <c r="Z148" s="2577"/>
      <c r="AA148" s="2577"/>
      <c r="AB148" s="2577"/>
      <c r="AC148" s="2577">
        <v>5502921.8609999996</v>
      </c>
      <c r="AD148" s="2577"/>
      <c r="AE148" s="2577"/>
      <c r="AF148" s="2577"/>
      <c r="AG148" s="2577"/>
      <c r="AH148" s="2577"/>
      <c r="AI148" s="2577"/>
      <c r="AJ148" s="2577"/>
      <c r="AK148" s="2577"/>
      <c r="AL148" s="2577"/>
      <c r="AM148" s="2577"/>
      <c r="AN148" s="2577"/>
      <c r="AO148" s="2577"/>
      <c r="AP148" s="2577"/>
      <c r="AQ148" s="2577"/>
      <c r="AR148" s="2577"/>
      <c r="AS148" s="2577"/>
      <c r="AT148" s="2597"/>
      <c r="AU148" s="2597"/>
      <c r="AV148" s="2597"/>
      <c r="AW148" s="2597"/>
      <c r="AX148" s="2597"/>
      <c r="AY148" s="2597"/>
      <c r="AZ148" s="2597"/>
      <c r="BA148" s="2597"/>
      <c r="BB148" s="2597"/>
      <c r="BC148" s="2597"/>
      <c r="BD148" s="2597"/>
      <c r="BE148" s="2597"/>
      <c r="BF148" s="2597"/>
      <c r="BG148" s="2597"/>
      <c r="BH148" s="2597"/>
      <c r="BI148" s="2597"/>
      <c r="BJ148" s="2597"/>
      <c r="BK148" s="2597"/>
      <c r="BL148" s="2597"/>
      <c r="BM148" s="2597"/>
      <c r="BN148" s="2597"/>
      <c r="BO148" s="2597"/>
      <c r="BP148" s="2597"/>
    </row>
    <row r="149" spans="1:68" s="2598" customFormat="1" ht="76.5" x14ac:dyDescent="0.25">
      <c r="A149" s="2581">
        <v>12</v>
      </c>
      <c r="B149" s="1356" t="s">
        <v>1416</v>
      </c>
      <c r="C149" s="2576"/>
      <c r="D149" s="2577"/>
      <c r="E149" s="2577"/>
      <c r="F149" s="2577"/>
      <c r="G149" s="2577"/>
      <c r="H149" s="2577"/>
      <c r="I149" s="2577"/>
      <c r="J149" s="2577"/>
      <c r="K149" s="2577"/>
      <c r="L149" s="2577">
        <f t="shared" si="183"/>
        <v>4500000</v>
      </c>
      <c r="M149" s="2577"/>
      <c r="N149" s="2577"/>
      <c r="O149" s="2577"/>
      <c r="P149" s="2578">
        <f t="shared" si="184"/>
        <v>4500000</v>
      </c>
      <c r="Q149" s="2578"/>
      <c r="R149" s="1826">
        <v>4500000</v>
      </c>
      <c r="S149" s="2577"/>
      <c r="T149" s="2578"/>
      <c r="U149" s="2578"/>
      <c r="V149" s="2578"/>
      <c r="W149" s="2578"/>
      <c r="X149" s="2578"/>
      <c r="Y149" s="2578"/>
      <c r="Z149" s="2577"/>
      <c r="AA149" s="2577"/>
      <c r="AB149" s="2577"/>
      <c r="AC149" s="2577">
        <v>4500000</v>
      </c>
      <c r="AD149" s="2577"/>
      <c r="AE149" s="2577"/>
      <c r="AF149" s="2577"/>
      <c r="AG149" s="2577"/>
      <c r="AH149" s="2577"/>
      <c r="AI149" s="2577"/>
      <c r="AJ149" s="2577"/>
      <c r="AK149" s="2577"/>
      <c r="AL149" s="2577"/>
      <c r="AM149" s="2577"/>
      <c r="AN149" s="2577"/>
      <c r="AO149" s="2577"/>
      <c r="AP149" s="2577"/>
      <c r="AQ149" s="2577"/>
      <c r="AR149" s="2577"/>
      <c r="AS149" s="2577"/>
      <c r="AT149" s="2597"/>
      <c r="AU149" s="2597"/>
      <c r="AV149" s="2597"/>
      <c r="AW149" s="2597"/>
      <c r="AX149" s="2597"/>
      <c r="AY149" s="2597"/>
      <c r="AZ149" s="2597"/>
      <c r="BA149" s="2597"/>
      <c r="BB149" s="2597"/>
      <c r="BC149" s="2597"/>
      <c r="BD149" s="2597"/>
      <c r="BE149" s="2597"/>
      <c r="BF149" s="2597"/>
      <c r="BG149" s="2597"/>
      <c r="BH149" s="2597"/>
      <c r="BI149" s="2597"/>
      <c r="BJ149" s="2597"/>
      <c r="BK149" s="2597"/>
      <c r="BL149" s="2597"/>
      <c r="BM149" s="2597"/>
      <c r="BN149" s="2597"/>
      <c r="BO149" s="2597"/>
      <c r="BP149" s="2597"/>
    </row>
    <row r="150" spans="1:68" s="2598" customFormat="1" ht="38.25" x14ac:dyDescent="0.25">
      <c r="A150" s="2581">
        <v>13</v>
      </c>
      <c r="B150" s="1356" t="s">
        <v>1415</v>
      </c>
      <c r="C150" s="2576"/>
      <c r="D150" s="2577"/>
      <c r="E150" s="2577"/>
      <c r="F150" s="2577"/>
      <c r="G150" s="2577"/>
      <c r="H150" s="2577"/>
      <c r="I150" s="2577"/>
      <c r="J150" s="2577"/>
      <c r="K150" s="2577"/>
      <c r="L150" s="2577">
        <f t="shared" si="183"/>
        <v>2510000</v>
      </c>
      <c r="M150" s="2577"/>
      <c r="N150" s="2577"/>
      <c r="O150" s="2577"/>
      <c r="P150" s="2578">
        <f t="shared" si="184"/>
        <v>2510000</v>
      </c>
      <c r="Q150" s="2578"/>
      <c r="R150" s="1826">
        <v>2510000</v>
      </c>
      <c r="S150" s="2577"/>
      <c r="T150" s="2578"/>
      <c r="U150" s="2578"/>
      <c r="V150" s="2578"/>
      <c r="W150" s="2578"/>
      <c r="X150" s="2578"/>
      <c r="Y150" s="2578"/>
      <c r="Z150" s="2577"/>
      <c r="AA150" s="2577"/>
      <c r="AB150" s="2577"/>
      <c r="AC150" s="2577">
        <v>2510000</v>
      </c>
      <c r="AD150" s="2577"/>
      <c r="AE150" s="2577"/>
      <c r="AF150" s="2577"/>
      <c r="AG150" s="2577"/>
      <c r="AH150" s="2577"/>
      <c r="AI150" s="2577"/>
      <c r="AJ150" s="2577"/>
      <c r="AK150" s="2577"/>
      <c r="AL150" s="2577"/>
      <c r="AM150" s="2577"/>
      <c r="AN150" s="2577"/>
      <c r="AO150" s="2577"/>
      <c r="AP150" s="2577"/>
      <c r="AQ150" s="2577"/>
      <c r="AR150" s="2577"/>
      <c r="AS150" s="2577"/>
      <c r="AT150" s="2597"/>
      <c r="AU150" s="2597"/>
      <c r="AV150" s="2597"/>
      <c r="AW150" s="2597"/>
      <c r="AX150" s="2597"/>
      <c r="AY150" s="2597"/>
      <c r="AZ150" s="2597"/>
      <c r="BA150" s="2597"/>
      <c r="BB150" s="2597"/>
      <c r="BC150" s="2597"/>
      <c r="BD150" s="2597"/>
      <c r="BE150" s="2597"/>
      <c r="BF150" s="2597"/>
      <c r="BG150" s="2597"/>
      <c r="BH150" s="2597"/>
      <c r="BI150" s="2597"/>
      <c r="BJ150" s="2597"/>
      <c r="BK150" s="2597"/>
      <c r="BL150" s="2597"/>
      <c r="BM150" s="2597"/>
      <c r="BN150" s="2597"/>
      <c r="BO150" s="2597"/>
      <c r="BP150" s="2597"/>
    </row>
    <row r="151" spans="1:68" s="2598" customFormat="1" ht="38.25" x14ac:dyDescent="0.25">
      <c r="A151" s="2581">
        <v>14</v>
      </c>
      <c r="B151" s="1356" t="s">
        <v>1406</v>
      </c>
      <c r="C151" s="2576"/>
      <c r="D151" s="2577"/>
      <c r="E151" s="2577"/>
      <c r="F151" s="2577"/>
      <c r="G151" s="2577"/>
      <c r="H151" s="2577"/>
      <c r="I151" s="2577"/>
      <c r="J151" s="2577"/>
      <c r="K151" s="2577"/>
      <c r="L151" s="2577">
        <f t="shared" si="183"/>
        <v>301000</v>
      </c>
      <c r="M151" s="2577"/>
      <c r="N151" s="2577"/>
      <c r="O151" s="2577"/>
      <c r="P151" s="2578">
        <f t="shared" si="184"/>
        <v>301000</v>
      </c>
      <c r="Q151" s="2578"/>
      <c r="R151" s="1826">
        <v>301000</v>
      </c>
      <c r="S151" s="2577"/>
      <c r="T151" s="2578"/>
      <c r="U151" s="2578"/>
      <c r="V151" s="2578"/>
      <c r="W151" s="2578"/>
      <c r="X151" s="2578"/>
      <c r="Y151" s="2578"/>
      <c r="Z151" s="2577"/>
      <c r="AA151" s="2577"/>
      <c r="AB151" s="2577"/>
      <c r="AC151" s="2577">
        <v>262425</v>
      </c>
      <c r="AD151" s="2577"/>
      <c r="AE151" s="2577"/>
      <c r="AF151" s="2577"/>
      <c r="AG151" s="2577"/>
      <c r="AH151" s="2577"/>
      <c r="AI151" s="2577"/>
      <c r="AJ151" s="2577"/>
      <c r="AK151" s="2577"/>
      <c r="AL151" s="2577"/>
      <c r="AM151" s="2577"/>
      <c r="AN151" s="2577"/>
      <c r="AO151" s="2577"/>
      <c r="AP151" s="2577"/>
      <c r="AQ151" s="2577">
        <f>L151-AC151</f>
        <v>38575</v>
      </c>
      <c r="AR151" s="2577"/>
      <c r="AS151" s="2577"/>
      <c r="AT151" s="2597"/>
      <c r="AU151" s="2597"/>
      <c r="AV151" s="2597"/>
      <c r="AW151" s="2597"/>
      <c r="AX151" s="2597"/>
      <c r="AY151" s="2597"/>
      <c r="AZ151" s="2597"/>
      <c r="BA151" s="2597"/>
      <c r="BB151" s="2597"/>
      <c r="BC151" s="2597"/>
      <c r="BD151" s="2597"/>
      <c r="BE151" s="2597"/>
      <c r="BF151" s="2597"/>
      <c r="BG151" s="2597"/>
      <c r="BH151" s="2597"/>
      <c r="BI151" s="2597"/>
      <c r="BJ151" s="2597"/>
      <c r="BK151" s="2597"/>
      <c r="BL151" s="2597"/>
      <c r="BM151" s="2597"/>
      <c r="BN151" s="2597"/>
      <c r="BO151" s="2597"/>
      <c r="BP151" s="2597"/>
    </row>
    <row r="152" spans="1:68" s="2598" customFormat="1" ht="38.25" x14ac:dyDescent="0.25">
      <c r="A152" s="2581">
        <v>15</v>
      </c>
      <c r="B152" s="1356" t="s">
        <v>1437</v>
      </c>
      <c r="C152" s="2576"/>
      <c r="D152" s="2577"/>
      <c r="E152" s="2577"/>
      <c r="F152" s="2577"/>
      <c r="G152" s="2577"/>
      <c r="H152" s="2577"/>
      <c r="I152" s="2577"/>
      <c r="J152" s="2577"/>
      <c r="K152" s="2577"/>
      <c r="L152" s="2577">
        <f t="shared" si="183"/>
        <v>690000</v>
      </c>
      <c r="M152" s="2577"/>
      <c r="N152" s="2577"/>
      <c r="O152" s="2577"/>
      <c r="P152" s="2578">
        <f t="shared" si="184"/>
        <v>690000</v>
      </c>
      <c r="Q152" s="2578"/>
      <c r="R152" s="1826">
        <v>690000</v>
      </c>
      <c r="S152" s="2577"/>
      <c r="T152" s="2578"/>
      <c r="U152" s="2578"/>
      <c r="V152" s="2578"/>
      <c r="W152" s="2578"/>
      <c r="X152" s="2578"/>
      <c r="Y152" s="2578"/>
      <c r="Z152" s="2577"/>
      <c r="AA152" s="2577"/>
      <c r="AB152" s="2577"/>
      <c r="AC152" s="2577">
        <v>690000</v>
      </c>
      <c r="AD152" s="2577"/>
      <c r="AE152" s="2577"/>
      <c r="AF152" s="2577"/>
      <c r="AG152" s="2577"/>
      <c r="AH152" s="2577"/>
      <c r="AI152" s="2577"/>
      <c r="AJ152" s="2577"/>
      <c r="AK152" s="2577"/>
      <c r="AL152" s="2577"/>
      <c r="AM152" s="2577"/>
      <c r="AN152" s="2577"/>
      <c r="AO152" s="2577"/>
      <c r="AP152" s="2577"/>
      <c r="AQ152" s="2577"/>
      <c r="AR152" s="2577"/>
      <c r="AS152" s="2577"/>
      <c r="AT152" s="2597"/>
      <c r="AU152" s="2597"/>
      <c r="AV152" s="2597"/>
      <c r="AW152" s="2597"/>
      <c r="AX152" s="2597"/>
      <c r="AY152" s="2597"/>
      <c r="AZ152" s="2597"/>
      <c r="BA152" s="2597"/>
      <c r="BB152" s="2597"/>
      <c r="BC152" s="2597"/>
      <c r="BD152" s="2597"/>
      <c r="BE152" s="2597"/>
      <c r="BF152" s="2597"/>
      <c r="BG152" s="2597"/>
      <c r="BH152" s="2597"/>
      <c r="BI152" s="2597"/>
      <c r="BJ152" s="2597"/>
      <c r="BK152" s="2597"/>
      <c r="BL152" s="2597"/>
      <c r="BM152" s="2597"/>
      <c r="BN152" s="2597"/>
      <c r="BO152" s="2597"/>
      <c r="BP152" s="2597"/>
    </row>
    <row r="153" spans="1:68" s="2598" customFormat="1" ht="51" x14ac:dyDescent="0.25">
      <c r="A153" s="2581">
        <v>16</v>
      </c>
      <c r="B153" s="1356" t="s">
        <v>1405</v>
      </c>
      <c r="C153" s="2576"/>
      <c r="D153" s="2577"/>
      <c r="E153" s="2577"/>
      <c r="F153" s="2577"/>
      <c r="G153" s="2577"/>
      <c r="H153" s="2577"/>
      <c r="I153" s="2577"/>
      <c r="J153" s="2577"/>
      <c r="K153" s="2577"/>
      <c r="L153" s="2577">
        <f t="shared" si="183"/>
        <v>1842607.5</v>
      </c>
      <c r="M153" s="2577"/>
      <c r="N153" s="2577"/>
      <c r="O153" s="2577"/>
      <c r="P153" s="2578">
        <f t="shared" si="184"/>
        <v>1842607.5</v>
      </c>
      <c r="Q153" s="2578"/>
      <c r="R153" s="1826">
        <v>1842607.5</v>
      </c>
      <c r="S153" s="2577"/>
      <c r="T153" s="2578"/>
      <c r="U153" s="2578"/>
      <c r="V153" s="2578"/>
      <c r="W153" s="2578"/>
      <c r="X153" s="2578"/>
      <c r="Y153" s="2578"/>
      <c r="Z153" s="2577"/>
      <c r="AA153" s="2577"/>
      <c r="AB153" s="2577"/>
      <c r="AC153" s="2577">
        <v>1842607.5</v>
      </c>
      <c r="AD153" s="2577"/>
      <c r="AE153" s="2577"/>
      <c r="AF153" s="2577"/>
      <c r="AG153" s="2577"/>
      <c r="AH153" s="2577"/>
      <c r="AI153" s="2577"/>
      <c r="AJ153" s="2577"/>
      <c r="AK153" s="2577"/>
      <c r="AL153" s="2577"/>
      <c r="AM153" s="2577"/>
      <c r="AN153" s="2577"/>
      <c r="AO153" s="2577"/>
      <c r="AP153" s="2577"/>
      <c r="AQ153" s="2577"/>
      <c r="AR153" s="2577"/>
      <c r="AS153" s="2577"/>
      <c r="AT153" s="2597"/>
      <c r="AU153" s="2597"/>
      <c r="AV153" s="2597"/>
      <c r="AW153" s="2597"/>
      <c r="AX153" s="2597"/>
      <c r="AY153" s="2597"/>
      <c r="AZ153" s="2597"/>
      <c r="BA153" s="2597"/>
      <c r="BB153" s="2597"/>
      <c r="BC153" s="2597"/>
      <c r="BD153" s="2597"/>
      <c r="BE153" s="2597"/>
      <c r="BF153" s="2597"/>
      <c r="BG153" s="2597"/>
      <c r="BH153" s="2597"/>
      <c r="BI153" s="2597"/>
      <c r="BJ153" s="2597"/>
      <c r="BK153" s="2597"/>
      <c r="BL153" s="2597"/>
      <c r="BM153" s="2597"/>
      <c r="BN153" s="2597"/>
      <c r="BO153" s="2597"/>
      <c r="BP153" s="2597"/>
    </row>
    <row r="154" spans="1:68" s="2598" customFormat="1" ht="89.25" x14ac:dyDescent="0.25">
      <c r="A154" s="2581">
        <v>17</v>
      </c>
      <c r="B154" s="1356" t="s">
        <v>1404</v>
      </c>
      <c r="C154" s="2576"/>
      <c r="D154" s="2577"/>
      <c r="E154" s="2577"/>
      <c r="F154" s="2577"/>
      <c r="G154" s="2577"/>
      <c r="H154" s="2577"/>
      <c r="I154" s="2577"/>
      <c r="J154" s="2577"/>
      <c r="K154" s="2577"/>
      <c r="L154" s="2577">
        <f t="shared" si="183"/>
        <v>525798</v>
      </c>
      <c r="M154" s="2577"/>
      <c r="N154" s="2577"/>
      <c r="O154" s="2577"/>
      <c r="P154" s="2578">
        <f t="shared" si="184"/>
        <v>525798</v>
      </c>
      <c r="Q154" s="2578"/>
      <c r="R154" s="1826">
        <v>525798</v>
      </c>
      <c r="S154" s="2577"/>
      <c r="T154" s="2578"/>
      <c r="U154" s="2578"/>
      <c r="V154" s="2578"/>
      <c r="W154" s="2578"/>
      <c r="X154" s="2578"/>
      <c r="Y154" s="2578"/>
      <c r="Z154" s="2577"/>
      <c r="AA154" s="2577"/>
      <c r="AB154" s="2577"/>
      <c r="AC154" s="2577">
        <v>525798</v>
      </c>
      <c r="AD154" s="2577"/>
      <c r="AE154" s="2577"/>
      <c r="AF154" s="2577"/>
      <c r="AG154" s="2577"/>
      <c r="AH154" s="2577"/>
      <c r="AI154" s="2577"/>
      <c r="AJ154" s="2577"/>
      <c r="AK154" s="2577"/>
      <c r="AL154" s="2577"/>
      <c r="AM154" s="2577"/>
      <c r="AN154" s="2577"/>
      <c r="AO154" s="2577"/>
      <c r="AP154" s="2577"/>
      <c r="AQ154" s="2577"/>
      <c r="AR154" s="2577"/>
      <c r="AS154" s="2577"/>
      <c r="AT154" s="2597"/>
      <c r="AU154" s="2597"/>
      <c r="AV154" s="2597"/>
      <c r="AW154" s="2597"/>
      <c r="AX154" s="2597"/>
      <c r="AY154" s="2597"/>
      <c r="AZ154" s="2597"/>
      <c r="BA154" s="2597"/>
      <c r="BB154" s="2597"/>
      <c r="BC154" s="2597"/>
      <c r="BD154" s="2597"/>
      <c r="BE154" s="2597"/>
      <c r="BF154" s="2597"/>
      <c r="BG154" s="2597"/>
      <c r="BH154" s="2597"/>
      <c r="BI154" s="2597"/>
      <c r="BJ154" s="2597"/>
      <c r="BK154" s="2597"/>
      <c r="BL154" s="2597"/>
      <c r="BM154" s="2597"/>
      <c r="BN154" s="2597"/>
      <c r="BO154" s="2597"/>
      <c r="BP154" s="2597"/>
    </row>
    <row r="155" spans="1:68" s="2598" customFormat="1" ht="89.25" x14ac:dyDescent="0.25">
      <c r="A155" s="2581">
        <v>18</v>
      </c>
      <c r="B155" s="1356" t="s">
        <v>1403</v>
      </c>
      <c r="C155" s="2576"/>
      <c r="D155" s="2577"/>
      <c r="E155" s="2577"/>
      <c r="F155" s="2577"/>
      <c r="G155" s="2577"/>
      <c r="H155" s="2577"/>
      <c r="I155" s="2577"/>
      <c r="J155" s="2577"/>
      <c r="K155" s="2577"/>
      <c r="L155" s="2577">
        <f t="shared" si="183"/>
        <v>367200</v>
      </c>
      <c r="M155" s="2577"/>
      <c r="N155" s="2577"/>
      <c r="O155" s="2577"/>
      <c r="P155" s="2578">
        <f t="shared" si="184"/>
        <v>367200</v>
      </c>
      <c r="Q155" s="2578"/>
      <c r="R155" s="1826">
        <v>367200</v>
      </c>
      <c r="S155" s="2577"/>
      <c r="T155" s="2578"/>
      <c r="U155" s="2578"/>
      <c r="V155" s="2578"/>
      <c r="W155" s="2578"/>
      <c r="X155" s="2578"/>
      <c r="Y155" s="2578"/>
      <c r="Z155" s="2577"/>
      <c r="AA155" s="2577"/>
      <c r="AB155" s="2577"/>
      <c r="AC155" s="2577">
        <v>362000</v>
      </c>
      <c r="AD155" s="2577"/>
      <c r="AE155" s="2577"/>
      <c r="AF155" s="2577"/>
      <c r="AG155" s="2577"/>
      <c r="AH155" s="2577"/>
      <c r="AI155" s="2577"/>
      <c r="AJ155" s="2577"/>
      <c r="AK155" s="2577"/>
      <c r="AL155" s="2577"/>
      <c r="AM155" s="2577"/>
      <c r="AN155" s="2577"/>
      <c r="AO155" s="2577"/>
      <c r="AP155" s="2577"/>
      <c r="AQ155" s="2577">
        <f>L155-AC155</f>
        <v>5200</v>
      </c>
      <c r="AR155" s="2577"/>
      <c r="AS155" s="2577"/>
      <c r="AT155" s="2597"/>
      <c r="AU155" s="2597"/>
      <c r="AV155" s="2597"/>
      <c r="AW155" s="2597"/>
      <c r="AX155" s="2597"/>
      <c r="AY155" s="2597"/>
      <c r="AZ155" s="2597"/>
      <c r="BA155" s="2597"/>
      <c r="BB155" s="2597"/>
      <c r="BC155" s="2597"/>
      <c r="BD155" s="2597"/>
      <c r="BE155" s="2597"/>
      <c r="BF155" s="2597"/>
      <c r="BG155" s="2597"/>
      <c r="BH155" s="2597"/>
      <c r="BI155" s="2597"/>
      <c r="BJ155" s="2597"/>
      <c r="BK155" s="2597"/>
      <c r="BL155" s="2597"/>
      <c r="BM155" s="2597"/>
      <c r="BN155" s="2597"/>
      <c r="BO155" s="2597"/>
      <c r="BP155" s="2597"/>
    </row>
    <row r="156" spans="1:68" s="2598" customFormat="1" ht="76.5" x14ac:dyDescent="0.25">
      <c r="A156" s="2581">
        <v>19</v>
      </c>
      <c r="B156" s="1356" t="s">
        <v>1402</v>
      </c>
      <c r="C156" s="2576"/>
      <c r="D156" s="2577"/>
      <c r="E156" s="2577"/>
      <c r="F156" s="2577"/>
      <c r="G156" s="2577"/>
      <c r="H156" s="2577"/>
      <c r="I156" s="2577"/>
      <c r="J156" s="2577"/>
      <c r="K156" s="2577"/>
      <c r="L156" s="2577">
        <f t="shared" si="183"/>
        <v>3718000</v>
      </c>
      <c r="M156" s="2577"/>
      <c r="N156" s="2577"/>
      <c r="O156" s="2577"/>
      <c r="P156" s="2578">
        <f t="shared" si="184"/>
        <v>3718000</v>
      </c>
      <c r="Q156" s="2578"/>
      <c r="R156" s="1826">
        <v>3718000</v>
      </c>
      <c r="S156" s="2577"/>
      <c r="T156" s="2578"/>
      <c r="U156" s="2578"/>
      <c r="V156" s="2578"/>
      <c r="W156" s="2578"/>
      <c r="X156" s="2578"/>
      <c r="Y156" s="2578"/>
      <c r="Z156" s="2577"/>
      <c r="AA156" s="2577"/>
      <c r="AB156" s="2577"/>
      <c r="AC156" s="2577"/>
      <c r="AD156" s="2577"/>
      <c r="AE156" s="2577"/>
      <c r="AF156" s="2577">
        <f>L156</f>
        <v>3718000</v>
      </c>
      <c r="AG156" s="2577"/>
      <c r="AH156" s="2577"/>
      <c r="AI156" s="2577"/>
      <c r="AJ156" s="2577"/>
      <c r="AK156" s="2577"/>
      <c r="AL156" s="2577"/>
      <c r="AM156" s="2577"/>
      <c r="AN156" s="2577"/>
      <c r="AO156" s="2577"/>
      <c r="AP156" s="2577"/>
      <c r="AQ156" s="2577"/>
      <c r="AR156" s="2577"/>
      <c r="AS156" s="2577"/>
      <c r="AT156" s="2597"/>
      <c r="AU156" s="2597"/>
      <c r="AV156" s="2597"/>
      <c r="AW156" s="2597"/>
      <c r="AX156" s="2597"/>
      <c r="AY156" s="2597"/>
      <c r="AZ156" s="2597"/>
      <c r="BA156" s="2597"/>
      <c r="BB156" s="2597"/>
      <c r="BC156" s="2597"/>
      <c r="BD156" s="2597"/>
      <c r="BE156" s="2597"/>
      <c r="BF156" s="2597"/>
      <c r="BG156" s="2597"/>
      <c r="BH156" s="2597"/>
      <c r="BI156" s="2597"/>
      <c r="BJ156" s="2597"/>
      <c r="BK156" s="2597"/>
      <c r="BL156" s="2597"/>
      <c r="BM156" s="2597"/>
      <c r="BN156" s="2597"/>
      <c r="BO156" s="2597"/>
      <c r="BP156" s="2597"/>
    </row>
    <row r="157" spans="1:68" s="2619" customFormat="1" ht="51" x14ac:dyDescent="0.25">
      <c r="A157" s="2612">
        <v>20</v>
      </c>
      <c r="B157" s="2613" t="s">
        <v>1401</v>
      </c>
      <c r="C157" s="2614"/>
      <c r="D157" s="2615"/>
      <c r="E157" s="2615"/>
      <c r="F157" s="2615"/>
      <c r="G157" s="2615"/>
      <c r="H157" s="2615"/>
      <c r="I157" s="2615"/>
      <c r="J157" s="2615"/>
      <c r="K157" s="2615"/>
      <c r="L157" s="2615">
        <f t="shared" si="183"/>
        <v>8104000</v>
      </c>
      <c r="M157" s="2615"/>
      <c r="N157" s="2615"/>
      <c r="O157" s="2615"/>
      <c r="P157" s="2616">
        <f t="shared" si="184"/>
        <v>8104000</v>
      </c>
      <c r="Q157" s="2616"/>
      <c r="R157" s="1828">
        <v>8104000</v>
      </c>
      <c r="S157" s="2615"/>
      <c r="T157" s="2616"/>
      <c r="U157" s="2616"/>
      <c r="V157" s="2616"/>
      <c r="W157" s="2616"/>
      <c r="X157" s="2616"/>
      <c r="Y157" s="2616"/>
      <c r="Z157" s="2615"/>
      <c r="AA157" s="2615"/>
      <c r="AB157" s="2615"/>
      <c r="AC157" s="2617">
        <v>8104000</v>
      </c>
      <c r="AD157" s="2615"/>
      <c r="AE157" s="2615"/>
      <c r="AF157" s="2615"/>
      <c r="AG157" s="2615"/>
      <c r="AH157" s="2615"/>
      <c r="AI157" s="2615"/>
      <c r="AJ157" s="2615"/>
      <c r="AK157" s="2615"/>
      <c r="AL157" s="2615"/>
      <c r="AM157" s="2615"/>
      <c r="AN157" s="2615"/>
      <c r="AO157" s="2615"/>
      <c r="AP157" s="2615"/>
      <c r="AQ157" s="2615"/>
      <c r="AR157" s="2615"/>
      <c r="AS157" s="2615"/>
      <c r="AT157" s="2618"/>
      <c r="AU157" s="2618"/>
      <c r="AV157" s="2618"/>
      <c r="AW157" s="2618"/>
      <c r="AX157" s="2618"/>
      <c r="AY157" s="2618"/>
      <c r="AZ157" s="2618"/>
      <c r="BA157" s="2618"/>
      <c r="BB157" s="2618"/>
      <c r="BC157" s="2618"/>
      <c r="BD157" s="2618"/>
      <c r="BE157" s="2618"/>
      <c r="BF157" s="2618"/>
      <c r="BG157" s="2618"/>
      <c r="BH157" s="2618"/>
      <c r="BI157" s="2618"/>
      <c r="BJ157" s="2618"/>
      <c r="BK157" s="2618"/>
      <c r="BL157" s="2618"/>
      <c r="BM157" s="2618"/>
      <c r="BN157" s="2618"/>
      <c r="BO157" s="2618"/>
      <c r="BP157" s="2618"/>
    </row>
    <row r="158" spans="1:68" s="2619" customFormat="1" ht="60.75" customHeight="1" x14ac:dyDescent="0.25">
      <c r="A158" s="2612">
        <v>21</v>
      </c>
      <c r="B158" s="2613" t="s">
        <v>1400</v>
      </c>
      <c r="C158" s="2614"/>
      <c r="D158" s="2615"/>
      <c r="E158" s="2615"/>
      <c r="F158" s="2615"/>
      <c r="G158" s="2615"/>
      <c r="H158" s="2615"/>
      <c r="I158" s="2615"/>
      <c r="J158" s="2615"/>
      <c r="K158" s="2615"/>
      <c r="L158" s="2615">
        <f>M158+P158</f>
        <v>1822000</v>
      </c>
      <c r="M158" s="2615"/>
      <c r="N158" s="2615"/>
      <c r="O158" s="2615"/>
      <c r="P158" s="2616">
        <f>Q158+R158</f>
        <v>1822000</v>
      </c>
      <c r="Q158" s="2616"/>
      <c r="R158" s="1828">
        <f>1852000-30000</f>
        <v>1822000</v>
      </c>
      <c r="S158" s="2615"/>
      <c r="T158" s="2616"/>
      <c r="U158" s="2616"/>
      <c r="V158" s="2616"/>
      <c r="W158" s="2616"/>
      <c r="X158" s="2616"/>
      <c r="Y158" s="2616"/>
      <c r="Z158" s="2615"/>
      <c r="AA158" s="2615"/>
      <c r="AB158" s="2615"/>
      <c r="AC158" s="2617">
        <v>1374397</v>
      </c>
      <c r="AD158" s="2615"/>
      <c r="AE158" s="2615"/>
      <c r="AF158" s="2615"/>
      <c r="AG158" s="2615"/>
      <c r="AH158" s="2615"/>
      <c r="AI158" s="2615"/>
      <c r="AJ158" s="2615"/>
      <c r="AK158" s="2615"/>
      <c r="AL158" s="2615"/>
      <c r="AM158" s="2615"/>
      <c r="AN158" s="2615"/>
      <c r="AO158" s="2615"/>
      <c r="AP158" s="2615"/>
      <c r="AQ158" s="2615"/>
      <c r="AR158" s="2615"/>
      <c r="AS158" s="2615"/>
      <c r="AT158" s="2618"/>
      <c r="AU158" s="2618"/>
      <c r="AV158" s="2618"/>
      <c r="AW158" s="2618"/>
      <c r="AX158" s="2618"/>
      <c r="AY158" s="2618"/>
      <c r="AZ158" s="2618"/>
      <c r="BA158" s="2618"/>
      <c r="BB158" s="2618"/>
      <c r="BC158" s="2618"/>
      <c r="BD158" s="2618"/>
      <c r="BE158" s="2618"/>
      <c r="BF158" s="2618"/>
      <c r="BG158" s="2618"/>
      <c r="BH158" s="2618"/>
      <c r="BI158" s="2618"/>
      <c r="BJ158" s="2618"/>
      <c r="BK158" s="2618"/>
      <c r="BL158" s="2618"/>
      <c r="BM158" s="2618"/>
      <c r="BN158" s="2618"/>
      <c r="BO158" s="2618"/>
      <c r="BP158" s="2618"/>
    </row>
    <row r="159" spans="1:68" s="2634" customFormat="1" ht="66" customHeight="1" x14ac:dyDescent="0.25">
      <c r="A159" s="2628"/>
      <c r="B159" s="2637" t="s">
        <v>2163</v>
      </c>
      <c r="C159" s="2631">
        <f>C160+C161</f>
        <v>396729</v>
      </c>
      <c r="D159" s="2630"/>
      <c r="E159" s="2630"/>
      <c r="F159" s="2630"/>
      <c r="G159" s="2630"/>
      <c r="H159" s="2630"/>
      <c r="I159" s="2630"/>
      <c r="J159" s="2630"/>
      <c r="K159" s="2631">
        <f>K160+K161</f>
        <v>396729</v>
      </c>
      <c r="L159" s="2631">
        <f>L160+L161</f>
        <v>5469267.96</v>
      </c>
      <c r="M159" s="2631">
        <f>M160+M161</f>
        <v>0</v>
      </c>
      <c r="N159" s="2630"/>
      <c r="O159" s="2630"/>
      <c r="P159" s="2631">
        <f>P160+P161</f>
        <v>5469267.96</v>
      </c>
      <c r="Q159" s="2631"/>
      <c r="R159" s="2631">
        <f>R160+R161</f>
        <v>5469267.96</v>
      </c>
      <c r="S159" s="2630"/>
      <c r="T159" s="2631"/>
      <c r="U159" s="2631"/>
      <c r="V159" s="2631"/>
      <c r="W159" s="2631"/>
      <c r="X159" s="2631"/>
      <c r="Y159" s="2631"/>
      <c r="Z159" s="2630"/>
      <c r="AA159" s="2630"/>
      <c r="AB159" s="2630"/>
      <c r="AC159" s="2631">
        <f>AC160+AC161</f>
        <v>5665761.5</v>
      </c>
      <c r="AD159" s="2630"/>
      <c r="AE159" s="2630"/>
      <c r="AF159" s="2631">
        <f>AF160+AF161</f>
        <v>132456.95999999982</v>
      </c>
      <c r="AG159" s="2630"/>
      <c r="AH159" s="2630"/>
      <c r="AI159" s="2630"/>
      <c r="AJ159" s="2630"/>
      <c r="AK159" s="2630"/>
      <c r="AL159" s="2630"/>
      <c r="AM159" s="2630"/>
      <c r="AN159" s="2630"/>
      <c r="AO159" s="2630"/>
      <c r="AP159" s="2630"/>
      <c r="AQ159" s="2631">
        <f>AQ160+AQ161</f>
        <v>67779.200000000041</v>
      </c>
      <c r="AR159" s="2630"/>
      <c r="AS159" s="2630"/>
      <c r="AT159" s="2633"/>
      <c r="AU159" s="2633"/>
      <c r="AV159" s="2633"/>
      <c r="AW159" s="2633"/>
      <c r="AX159" s="2633"/>
      <c r="AY159" s="2633"/>
      <c r="AZ159" s="2633"/>
      <c r="BA159" s="2633"/>
      <c r="BB159" s="2633"/>
      <c r="BC159" s="2633"/>
      <c r="BD159" s="2633"/>
      <c r="BE159" s="2633"/>
      <c r="BF159" s="2633"/>
      <c r="BG159" s="2633"/>
      <c r="BH159" s="2633"/>
      <c r="BI159" s="2633"/>
      <c r="BJ159" s="2633"/>
      <c r="BK159" s="2633"/>
      <c r="BL159" s="2633"/>
      <c r="BM159" s="2633"/>
      <c r="BN159" s="2633"/>
      <c r="BO159" s="2633"/>
      <c r="BP159" s="2633"/>
    </row>
    <row r="160" spans="1:68" s="2634" customFormat="1" ht="66" customHeight="1" x14ac:dyDescent="0.25">
      <c r="A160" s="2628"/>
      <c r="B160" s="2637" t="s">
        <v>935</v>
      </c>
      <c r="C160" s="2629">
        <f>J160+K160</f>
        <v>396729</v>
      </c>
      <c r="D160" s="2630"/>
      <c r="E160" s="2630"/>
      <c r="F160" s="2630"/>
      <c r="G160" s="2630"/>
      <c r="H160" s="2630"/>
      <c r="I160" s="2630"/>
      <c r="J160" s="2630"/>
      <c r="K160" s="2630">
        <v>396729</v>
      </c>
      <c r="L160" s="2630">
        <f>M160+P160</f>
        <v>58267.96</v>
      </c>
      <c r="M160" s="2630">
        <f>N160+O160</f>
        <v>0</v>
      </c>
      <c r="N160" s="2630"/>
      <c r="O160" s="2630"/>
      <c r="P160" s="2631">
        <f t="shared" si="184"/>
        <v>58267.96</v>
      </c>
      <c r="Q160" s="2631"/>
      <c r="R160" s="2632">
        <v>58267.96</v>
      </c>
      <c r="S160" s="2630"/>
      <c r="T160" s="2631"/>
      <c r="U160" s="2631"/>
      <c r="V160" s="2631"/>
      <c r="W160" s="2631"/>
      <c r="X160" s="2631"/>
      <c r="Y160" s="2631"/>
      <c r="Z160" s="2630"/>
      <c r="AA160" s="2630"/>
      <c r="AB160" s="2630"/>
      <c r="AC160" s="2672">
        <f>396729-67779.2</f>
        <v>328949.8</v>
      </c>
      <c r="AD160" s="2630"/>
      <c r="AE160" s="2630"/>
      <c r="AF160" s="2672">
        <f>58267.96</f>
        <v>58267.96</v>
      </c>
      <c r="AG160" s="2630"/>
      <c r="AH160" s="2630"/>
      <c r="AI160" s="2630"/>
      <c r="AJ160" s="2630"/>
      <c r="AK160" s="2630"/>
      <c r="AL160" s="2630"/>
      <c r="AM160" s="2630"/>
      <c r="AN160" s="2630"/>
      <c r="AO160" s="2630"/>
      <c r="AP160" s="2630"/>
      <c r="AQ160" s="2630">
        <f>C160+L160-AC160-AF160</f>
        <v>67779.200000000041</v>
      </c>
      <c r="AR160" s="2630"/>
      <c r="AS160" s="2630"/>
      <c r="AT160" s="2633"/>
      <c r="AU160" s="2633"/>
      <c r="AV160" s="2633"/>
      <c r="AW160" s="2633"/>
      <c r="AX160" s="2633"/>
      <c r="AY160" s="2633"/>
      <c r="AZ160" s="2633"/>
      <c r="BA160" s="2633"/>
      <c r="BB160" s="2633"/>
      <c r="BC160" s="2633"/>
      <c r="BD160" s="2633"/>
      <c r="BE160" s="2633"/>
      <c r="BF160" s="2633"/>
      <c r="BG160" s="2633"/>
      <c r="BH160" s="2633"/>
      <c r="BI160" s="2633"/>
      <c r="BJ160" s="2633"/>
      <c r="BK160" s="2633"/>
      <c r="BL160" s="2633"/>
      <c r="BM160" s="2633"/>
      <c r="BN160" s="2633"/>
      <c r="BO160" s="2633"/>
      <c r="BP160" s="2633"/>
    </row>
    <row r="161" spans="1:68" s="2634" customFormat="1" ht="66" customHeight="1" x14ac:dyDescent="0.25">
      <c r="A161" s="2628"/>
      <c r="B161" s="2637" t="s">
        <v>2203</v>
      </c>
      <c r="C161" s="2629">
        <f>J161+K161</f>
        <v>0</v>
      </c>
      <c r="D161" s="2630"/>
      <c r="E161" s="2630"/>
      <c r="F161" s="2630"/>
      <c r="G161" s="2630"/>
      <c r="H161" s="2630"/>
      <c r="I161" s="2630"/>
      <c r="J161" s="2630"/>
      <c r="K161" s="2630"/>
      <c r="L161" s="2630">
        <f>M161+P161</f>
        <v>5411000</v>
      </c>
      <c r="M161" s="2630">
        <f>N161+O161</f>
        <v>0</v>
      </c>
      <c r="N161" s="2630"/>
      <c r="O161" s="2630"/>
      <c r="P161" s="2631">
        <f t="shared" si="184"/>
        <v>5411000</v>
      </c>
      <c r="Q161" s="2631"/>
      <c r="R161" s="2632">
        <f>5411000</f>
        <v>5411000</v>
      </c>
      <c r="S161" s="2630"/>
      <c r="T161" s="2631"/>
      <c r="U161" s="2631"/>
      <c r="V161" s="2631"/>
      <c r="W161" s="2631"/>
      <c r="X161" s="2631"/>
      <c r="Y161" s="2631"/>
      <c r="Z161" s="2630"/>
      <c r="AA161" s="2630"/>
      <c r="AB161" s="2630"/>
      <c r="AC161" s="2630">
        <f>5665761.5-328949.8</f>
        <v>5336811.7</v>
      </c>
      <c r="AD161" s="2630"/>
      <c r="AE161" s="2630"/>
      <c r="AF161" s="2672">
        <f>L161-AC161+0.7</f>
        <v>74188.999999999811</v>
      </c>
      <c r="AG161" s="2630"/>
      <c r="AH161" s="2630"/>
      <c r="AI161" s="2630"/>
      <c r="AJ161" s="2630"/>
      <c r="AK161" s="2630"/>
      <c r="AL161" s="2630"/>
      <c r="AM161" s="2630"/>
      <c r="AN161" s="2630"/>
      <c r="AO161" s="2630"/>
      <c r="AP161" s="2630"/>
      <c r="AQ161" s="2630"/>
      <c r="AR161" s="2630"/>
      <c r="AS161" s="2630"/>
      <c r="AT161" s="2633"/>
      <c r="AU161" s="2633"/>
      <c r="AV161" s="2633"/>
      <c r="AW161" s="2633"/>
      <c r="AX161" s="2633"/>
      <c r="AY161" s="2633"/>
      <c r="AZ161" s="2633"/>
      <c r="BA161" s="2633"/>
      <c r="BB161" s="2633"/>
      <c r="BC161" s="2633"/>
      <c r="BD161" s="2633"/>
      <c r="BE161" s="2633"/>
      <c r="BF161" s="2633"/>
      <c r="BG161" s="2633"/>
      <c r="BH161" s="2633"/>
      <c r="BI161" s="2633"/>
      <c r="BJ161" s="2633"/>
      <c r="BK161" s="2633"/>
      <c r="BL161" s="2633"/>
      <c r="BM161" s="2633"/>
      <c r="BN161" s="2633"/>
      <c r="BO161" s="2633"/>
      <c r="BP161" s="2633"/>
    </row>
    <row r="162" spans="1:68" s="2634" customFormat="1" ht="75" x14ac:dyDescent="0.25">
      <c r="A162" s="2628"/>
      <c r="B162" s="2638" t="s">
        <v>2164</v>
      </c>
      <c r="C162" s="2629"/>
      <c r="D162" s="2630"/>
      <c r="E162" s="2630"/>
      <c r="F162" s="2630"/>
      <c r="G162" s="2630"/>
      <c r="H162" s="2630"/>
      <c r="I162" s="2630"/>
      <c r="J162" s="2630"/>
      <c r="K162" s="2630"/>
      <c r="L162" s="2630">
        <f>M162+P162</f>
        <v>845000</v>
      </c>
      <c r="M162" s="2630"/>
      <c r="N162" s="2630"/>
      <c r="O162" s="2630"/>
      <c r="P162" s="2631">
        <f t="shared" si="184"/>
        <v>845000</v>
      </c>
      <c r="Q162" s="2631"/>
      <c r="R162" s="2632">
        <v>845000</v>
      </c>
      <c r="S162" s="2630"/>
      <c r="T162" s="2631"/>
      <c r="U162" s="2631"/>
      <c r="V162" s="2631"/>
      <c r="W162" s="2631"/>
      <c r="X162" s="2631"/>
      <c r="Y162" s="2631"/>
      <c r="Z162" s="2630"/>
      <c r="AA162" s="2630"/>
      <c r="AB162" s="2630"/>
      <c r="AC162" s="2630">
        <v>845000</v>
      </c>
      <c r="AD162" s="2630"/>
      <c r="AE162" s="2630"/>
      <c r="AF162" s="2630"/>
      <c r="AG162" s="2630"/>
      <c r="AH162" s="2630"/>
      <c r="AI162" s="2630"/>
      <c r="AJ162" s="2630"/>
      <c r="AK162" s="2630"/>
      <c r="AL162" s="2630"/>
      <c r="AM162" s="2630"/>
      <c r="AN162" s="2630"/>
      <c r="AO162" s="2630"/>
      <c r="AP162" s="2630"/>
      <c r="AQ162" s="2630"/>
      <c r="AR162" s="2630"/>
      <c r="AS162" s="2630"/>
      <c r="AT162" s="2633"/>
      <c r="AU162" s="2633"/>
      <c r="AV162" s="2633"/>
      <c r="AW162" s="2633"/>
      <c r="AX162" s="2633"/>
      <c r="AY162" s="2633"/>
      <c r="AZ162" s="2633"/>
      <c r="BA162" s="2633"/>
      <c r="BB162" s="2633"/>
      <c r="BC162" s="2633"/>
      <c r="BD162" s="2633"/>
      <c r="BE162" s="2633"/>
      <c r="BF162" s="2633"/>
      <c r="BG162" s="2633"/>
      <c r="BH162" s="2633"/>
      <c r="BI162" s="2633"/>
      <c r="BJ162" s="2633"/>
      <c r="BK162" s="2633"/>
      <c r="BL162" s="2633"/>
      <c r="BM162" s="2633"/>
      <c r="BN162" s="2633"/>
      <c r="BO162" s="2633"/>
      <c r="BP162" s="2633"/>
    </row>
    <row r="163" spans="1:68" s="2634" customFormat="1" ht="45" x14ac:dyDescent="0.25">
      <c r="A163" s="2628"/>
      <c r="B163" s="2638" t="s">
        <v>2165</v>
      </c>
      <c r="C163" s="2629"/>
      <c r="D163" s="2630"/>
      <c r="E163" s="2630"/>
      <c r="F163" s="2630"/>
      <c r="G163" s="2630"/>
      <c r="H163" s="2630"/>
      <c r="I163" s="2630"/>
      <c r="J163" s="2630"/>
      <c r="K163" s="2630"/>
      <c r="L163" s="2630">
        <f t="shared" si="183"/>
        <v>447280</v>
      </c>
      <c r="M163" s="2630"/>
      <c r="N163" s="2630"/>
      <c r="O163" s="2630"/>
      <c r="P163" s="2631">
        <f t="shared" si="184"/>
        <v>447280</v>
      </c>
      <c r="Q163" s="2631"/>
      <c r="R163" s="2632">
        <v>447280</v>
      </c>
      <c r="S163" s="2630"/>
      <c r="T163" s="2631"/>
      <c r="U163" s="2631"/>
      <c r="V163" s="2631"/>
      <c r="W163" s="2631"/>
      <c r="X163" s="2631"/>
      <c r="Y163" s="2631"/>
      <c r="Z163" s="2630"/>
      <c r="AA163" s="2630"/>
      <c r="AB163" s="2630"/>
      <c r="AC163" s="2630">
        <f>447280-16900</f>
        <v>430380</v>
      </c>
      <c r="AD163" s="2630"/>
      <c r="AE163" s="2630"/>
      <c r="AF163" s="2630">
        <f>L163-AC163</f>
        <v>16900</v>
      </c>
      <c r="AG163" s="2630"/>
      <c r="AH163" s="2630"/>
      <c r="AI163" s="2630"/>
      <c r="AJ163" s="2630"/>
      <c r="AK163" s="2630"/>
      <c r="AL163" s="2630"/>
      <c r="AM163" s="2630"/>
      <c r="AN163" s="2630"/>
      <c r="AO163" s="2630"/>
      <c r="AP163" s="2630"/>
      <c r="AQ163" s="2630"/>
      <c r="AR163" s="2630"/>
      <c r="AS163" s="2630"/>
      <c r="AT163" s="2633"/>
      <c r="AU163" s="2633"/>
      <c r="AV163" s="2633"/>
      <c r="AW163" s="2633"/>
      <c r="AX163" s="2633"/>
      <c r="AY163" s="2633"/>
      <c r="AZ163" s="2633"/>
      <c r="BA163" s="2633"/>
      <c r="BB163" s="2633"/>
      <c r="BC163" s="2633"/>
      <c r="BD163" s="2633"/>
      <c r="BE163" s="2633"/>
      <c r="BF163" s="2633"/>
      <c r="BG163" s="2633"/>
      <c r="BH163" s="2633"/>
      <c r="BI163" s="2633"/>
      <c r="BJ163" s="2633"/>
      <c r="BK163" s="2633"/>
      <c r="BL163" s="2633"/>
      <c r="BM163" s="2633"/>
      <c r="BN163" s="2633"/>
      <c r="BO163" s="2633"/>
      <c r="BP163" s="2633"/>
    </row>
    <row r="164" spans="1:68" s="2634" customFormat="1" ht="45" x14ac:dyDescent="0.25">
      <c r="A164" s="2628"/>
      <c r="B164" s="2638" t="s">
        <v>2166</v>
      </c>
      <c r="C164" s="2629"/>
      <c r="D164" s="2630"/>
      <c r="E164" s="2630"/>
      <c r="F164" s="2630"/>
      <c r="G164" s="2630"/>
      <c r="H164" s="2630"/>
      <c r="I164" s="2630"/>
      <c r="J164" s="2630"/>
      <c r="K164" s="2630"/>
      <c r="L164" s="2630">
        <f t="shared" si="183"/>
        <v>120000</v>
      </c>
      <c r="M164" s="2630"/>
      <c r="N164" s="2630"/>
      <c r="O164" s="2630"/>
      <c r="P164" s="2631">
        <f t="shared" si="184"/>
        <v>120000</v>
      </c>
      <c r="Q164" s="2631"/>
      <c r="R164" s="2632">
        <v>120000</v>
      </c>
      <c r="S164" s="2630"/>
      <c r="T164" s="2631"/>
      <c r="U164" s="2631"/>
      <c r="V164" s="2631"/>
      <c r="W164" s="2631"/>
      <c r="X164" s="2631"/>
      <c r="Y164" s="2631"/>
      <c r="Z164" s="2630"/>
      <c r="AA164" s="2630"/>
      <c r="AB164" s="2630"/>
      <c r="AC164" s="2630">
        <v>120000</v>
      </c>
      <c r="AD164" s="2630"/>
      <c r="AE164" s="2630"/>
      <c r="AF164" s="2630"/>
      <c r="AG164" s="2630"/>
      <c r="AH164" s="2630"/>
      <c r="AI164" s="2630"/>
      <c r="AJ164" s="2630"/>
      <c r="AK164" s="2630"/>
      <c r="AL164" s="2630"/>
      <c r="AM164" s="2630"/>
      <c r="AN164" s="2630"/>
      <c r="AO164" s="2630"/>
      <c r="AP164" s="2630"/>
      <c r="AQ164" s="2630"/>
      <c r="AR164" s="2630"/>
      <c r="AS164" s="2630"/>
      <c r="AT164" s="2633"/>
      <c r="AU164" s="2633"/>
      <c r="AV164" s="2633"/>
      <c r="AW164" s="2633"/>
      <c r="AX164" s="2633"/>
      <c r="AY164" s="2633"/>
      <c r="AZ164" s="2633"/>
      <c r="BA164" s="2633"/>
      <c r="BB164" s="2633"/>
      <c r="BC164" s="2633"/>
      <c r="BD164" s="2633"/>
      <c r="BE164" s="2633"/>
      <c r="BF164" s="2633"/>
      <c r="BG164" s="2633"/>
      <c r="BH164" s="2633"/>
      <c r="BI164" s="2633"/>
      <c r="BJ164" s="2633"/>
      <c r="BK164" s="2633"/>
      <c r="BL164" s="2633"/>
      <c r="BM164" s="2633"/>
      <c r="BN164" s="2633"/>
      <c r="BO164" s="2633"/>
      <c r="BP164" s="2633"/>
    </row>
    <row r="165" spans="1:68" s="2598" customFormat="1" ht="75" x14ac:dyDescent="0.25">
      <c r="A165" s="2639"/>
      <c r="B165" s="2640" t="s">
        <v>2167</v>
      </c>
      <c r="C165" s="2641"/>
      <c r="D165" s="2642"/>
      <c r="E165" s="2642"/>
      <c r="F165" s="2642"/>
      <c r="G165" s="2642"/>
      <c r="H165" s="2642"/>
      <c r="I165" s="2642"/>
      <c r="J165" s="2642"/>
      <c r="K165" s="2642"/>
      <c r="L165" s="2630">
        <f t="shared" si="183"/>
        <v>72000</v>
      </c>
      <c r="M165" s="2642"/>
      <c r="N165" s="2642"/>
      <c r="O165" s="2642"/>
      <c r="P165" s="2631">
        <f t="shared" si="184"/>
        <v>72000</v>
      </c>
      <c r="Q165" s="2643"/>
      <c r="R165" s="1826">
        <v>72000</v>
      </c>
      <c r="S165" s="2577"/>
      <c r="T165" s="2635"/>
      <c r="U165" s="2635"/>
      <c r="V165" s="2635"/>
      <c r="W165" s="2635"/>
      <c r="X165" s="2635"/>
      <c r="Y165" s="2635"/>
      <c r="Z165" s="2577"/>
      <c r="AA165" s="2577"/>
      <c r="AB165" s="2577"/>
      <c r="AC165" s="2636">
        <v>67076.289999999994</v>
      </c>
      <c r="AD165" s="2577"/>
      <c r="AE165" s="2577"/>
      <c r="AF165" s="2577">
        <f>L165-AC165</f>
        <v>4923.7100000000064</v>
      </c>
      <c r="AG165" s="2577"/>
      <c r="AH165" s="2577"/>
      <c r="AI165" s="2577"/>
      <c r="AJ165" s="2577"/>
      <c r="AK165" s="2577"/>
      <c r="AL165" s="2577"/>
      <c r="AM165" s="2577"/>
      <c r="AN165" s="2577"/>
      <c r="AO165" s="2577"/>
      <c r="AP165" s="2577"/>
      <c r="AQ165" s="2577"/>
      <c r="AR165" s="2577"/>
      <c r="AS165" s="2577"/>
      <c r="AT165" s="2597"/>
      <c r="AU165" s="2597"/>
      <c r="AV165" s="2597"/>
      <c r="AW165" s="2597"/>
      <c r="AX165" s="2597"/>
      <c r="AY165" s="2597"/>
      <c r="AZ165" s="2597"/>
      <c r="BA165" s="2597"/>
      <c r="BB165" s="2597"/>
      <c r="BC165" s="2597"/>
      <c r="BD165" s="2597"/>
      <c r="BE165" s="2597"/>
      <c r="BF165" s="2597"/>
      <c r="BG165" s="2597"/>
      <c r="BH165" s="2597"/>
      <c r="BI165" s="2597"/>
      <c r="BJ165" s="2597"/>
      <c r="BK165" s="2597"/>
      <c r="BL165" s="2597"/>
      <c r="BM165" s="2597"/>
      <c r="BN165" s="2597"/>
      <c r="BO165" s="2597"/>
      <c r="BP165" s="2597"/>
    </row>
    <row r="166" spans="1:68" s="2598" customFormat="1" ht="60" x14ac:dyDescent="0.25">
      <c r="A166" s="2639"/>
      <c r="B166" s="2640" t="s">
        <v>2168</v>
      </c>
      <c r="C166" s="2641"/>
      <c r="D166" s="2642"/>
      <c r="E166" s="2642"/>
      <c r="F166" s="2642"/>
      <c r="G166" s="2642"/>
      <c r="H166" s="2642"/>
      <c r="I166" s="2642"/>
      <c r="J166" s="2642"/>
      <c r="K166" s="2642"/>
      <c r="L166" s="2630">
        <f t="shared" si="183"/>
        <v>295200</v>
      </c>
      <c r="M166" s="2642"/>
      <c r="N166" s="2642"/>
      <c r="O166" s="2642"/>
      <c r="P166" s="2631">
        <f t="shared" si="184"/>
        <v>295200</v>
      </c>
      <c r="Q166" s="2643"/>
      <c r="R166" s="1826">
        <v>295200</v>
      </c>
      <c r="S166" s="2577"/>
      <c r="T166" s="2635"/>
      <c r="U166" s="2635"/>
      <c r="V166" s="2635"/>
      <c r="W166" s="2635"/>
      <c r="X166" s="2635"/>
      <c r="Y166" s="2635"/>
      <c r="Z166" s="2577"/>
      <c r="AA166" s="2577"/>
      <c r="AB166" s="2577"/>
      <c r="AC166" s="2636">
        <v>295000</v>
      </c>
      <c r="AD166" s="2577"/>
      <c r="AE166" s="2577"/>
      <c r="AF166" s="2577"/>
      <c r="AG166" s="2577"/>
      <c r="AH166" s="2577"/>
      <c r="AI166" s="2577"/>
      <c r="AJ166" s="2577"/>
      <c r="AK166" s="2577"/>
      <c r="AL166" s="2577"/>
      <c r="AM166" s="2577"/>
      <c r="AN166" s="2577"/>
      <c r="AO166" s="2577"/>
      <c r="AP166" s="2577"/>
      <c r="AQ166" s="2577"/>
      <c r="AR166" s="2577"/>
      <c r="AS166" s="2577"/>
      <c r="AT166" s="2597"/>
      <c r="AU166" s="2597"/>
      <c r="AV166" s="2597"/>
      <c r="AW166" s="2597"/>
      <c r="AX166" s="2597"/>
      <c r="AY166" s="2597"/>
      <c r="AZ166" s="2597"/>
      <c r="BA166" s="2597"/>
      <c r="BB166" s="2597"/>
      <c r="BC166" s="2597"/>
      <c r="BD166" s="2597"/>
      <c r="BE166" s="2597"/>
      <c r="BF166" s="2597"/>
      <c r="BG166" s="2597"/>
      <c r="BH166" s="2597"/>
      <c r="BI166" s="2597"/>
      <c r="BJ166" s="2597"/>
      <c r="BK166" s="2597"/>
      <c r="BL166" s="2597"/>
      <c r="BM166" s="2597"/>
      <c r="BN166" s="2597"/>
      <c r="BO166" s="2597"/>
      <c r="BP166" s="2597"/>
    </row>
    <row r="167" spans="1:68" s="2598" customFormat="1" ht="60" x14ac:dyDescent="0.25">
      <c r="A167" s="2639"/>
      <c r="B167" s="2640" t="s">
        <v>2169</v>
      </c>
      <c r="C167" s="2641"/>
      <c r="D167" s="2642"/>
      <c r="E167" s="2642"/>
      <c r="F167" s="2642"/>
      <c r="G167" s="2642"/>
      <c r="H167" s="2642"/>
      <c r="I167" s="2642"/>
      <c r="J167" s="2642"/>
      <c r="K167" s="2642"/>
      <c r="L167" s="2630">
        <f t="shared" si="183"/>
        <v>333917</v>
      </c>
      <c r="M167" s="2642"/>
      <c r="N167" s="2642"/>
      <c r="O167" s="2642"/>
      <c r="P167" s="2631">
        <f t="shared" si="184"/>
        <v>333917</v>
      </c>
      <c r="Q167" s="2643"/>
      <c r="R167" s="1826">
        <v>333917</v>
      </c>
      <c r="S167" s="2577"/>
      <c r="T167" s="2635"/>
      <c r="U167" s="2635"/>
      <c r="V167" s="2635"/>
      <c r="W167" s="2635"/>
      <c r="X167" s="2635"/>
      <c r="Y167" s="2635"/>
      <c r="Z167" s="2577"/>
      <c r="AA167" s="2577"/>
      <c r="AB167" s="2577"/>
      <c r="AC167" s="2636">
        <v>322329.277</v>
      </c>
      <c r="AD167" s="2577"/>
      <c r="AE167" s="2577"/>
      <c r="AF167" s="2577"/>
      <c r="AG167" s="2577"/>
      <c r="AH167" s="2577"/>
      <c r="AI167" s="2577"/>
      <c r="AJ167" s="2577"/>
      <c r="AK167" s="2577"/>
      <c r="AL167" s="2577"/>
      <c r="AM167" s="2577"/>
      <c r="AN167" s="2577"/>
      <c r="AO167" s="2577"/>
      <c r="AP167" s="2577"/>
      <c r="AQ167" s="2577">
        <v>11587.723</v>
      </c>
      <c r="AR167" s="2577"/>
      <c r="AS167" s="2577"/>
      <c r="AT167" s="2597"/>
      <c r="AU167" s="2597"/>
      <c r="AV167" s="2597"/>
      <c r="AW167" s="2597"/>
      <c r="AX167" s="2597"/>
      <c r="AY167" s="2597"/>
      <c r="AZ167" s="2597"/>
      <c r="BA167" s="2597"/>
      <c r="BB167" s="2597"/>
      <c r="BC167" s="2597"/>
      <c r="BD167" s="2597"/>
      <c r="BE167" s="2597"/>
      <c r="BF167" s="2597"/>
      <c r="BG167" s="2597"/>
      <c r="BH167" s="2597"/>
      <c r="BI167" s="2597"/>
      <c r="BJ167" s="2597"/>
      <c r="BK167" s="2597"/>
      <c r="BL167" s="2597"/>
      <c r="BM167" s="2597"/>
      <c r="BN167" s="2597"/>
      <c r="BO167" s="2597"/>
      <c r="BP167" s="2597"/>
    </row>
    <row r="168" spans="1:68" s="2598" customFormat="1" ht="15" x14ac:dyDescent="0.25">
      <c r="A168" s="2581"/>
      <c r="B168" s="2640" t="s">
        <v>2170</v>
      </c>
      <c r="C168" s="2576"/>
      <c r="D168" s="2577"/>
      <c r="E168" s="2577"/>
      <c r="F168" s="2577"/>
      <c r="G168" s="2577"/>
      <c r="H168" s="2577"/>
      <c r="I168" s="2577"/>
      <c r="J168" s="2577"/>
      <c r="K168" s="2577"/>
      <c r="L168" s="2630">
        <f t="shared" si="183"/>
        <v>272000</v>
      </c>
      <c r="M168" s="2577"/>
      <c r="N168" s="2577"/>
      <c r="O168" s="2577"/>
      <c r="P168" s="2631">
        <f t="shared" si="184"/>
        <v>272000</v>
      </c>
      <c r="Q168" s="2635"/>
      <c r="R168" s="1826">
        <v>272000</v>
      </c>
      <c r="S168" s="2577"/>
      <c r="T168" s="2635"/>
      <c r="U168" s="2635"/>
      <c r="V168" s="2635"/>
      <c r="W168" s="2635"/>
      <c r="X168" s="2635"/>
      <c r="Y168" s="2635"/>
      <c r="Z168" s="2577"/>
      <c r="AA168" s="2577"/>
      <c r="AB168" s="2577"/>
      <c r="AC168" s="2636">
        <v>272000</v>
      </c>
      <c r="AD168" s="2577"/>
      <c r="AE168" s="2577"/>
      <c r="AF168" s="2577"/>
      <c r="AG168" s="2577"/>
      <c r="AH168" s="2577"/>
      <c r="AI168" s="2577"/>
      <c r="AJ168" s="2577"/>
      <c r="AK168" s="2577"/>
      <c r="AL168" s="2577"/>
      <c r="AM168" s="2577"/>
      <c r="AN168" s="2577"/>
      <c r="AO168" s="2577"/>
      <c r="AP168" s="2577"/>
      <c r="AQ168" s="2577"/>
      <c r="AR168" s="2577"/>
      <c r="AS168" s="2577"/>
      <c r="AT168" s="2597"/>
      <c r="AU168" s="2597"/>
      <c r="AV168" s="2597"/>
      <c r="AW168" s="2597"/>
      <c r="AX168" s="2597"/>
      <c r="AY168" s="2597"/>
      <c r="AZ168" s="2597"/>
      <c r="BA168" s="2597"/>
      <c r="BB168" s="2597"/>
      <c r="BC168" s="2597"/>
      <c r="BD168" s="2597"/>
      <c r="BE168" s="2597"/>
      <c r="BF168" s="2597"/>
      <c r="BG168" s="2597"/>
      <c r="BH168" s="2597"/>
      <c r="BI168" s="2597"/>
      <c r="BJ168" s="2597"/>
      <c r="BK168" s="2597"/>
      <c r="BL168" s="2597"/>
      <c r="BM168" s="2597"/>
      <c r="BN168" s="2597"/>
      <c r="BO168" s="2597"/>
      <c r="BP168" s="2597"/>
    </row>
    <row r="169" spans="1:68" s="2598" customFormat="1" ht="30" x14ac:dyDescent="0.25">
      <c r="A169" s="2581"/>
      <c r="B169" s="2640" t="s">
        <v>2171</v>
      </c>
      <c r="C169" s="2576"/>
      <c r="D169" s="2577"/>
      <c r="E169" s="2577"/>
      <c r="F169" s="2577"/>
      <c r="G169" s="2577"/>
      <c r="H169" s="2577"/>
      <c r="I169" s="2577"/>
      <c r="J169" s="2577"/>
      <c r="K169" s="2577"/>
      <c r="L169" s="2630">
        <f t="shared" si="183"/>
        <v>1682000</v>
      </c>
      <c r="M169" s="2577"/>
      <c r="N169" s="2577"/>
      <c r="O169" s="2577"/>
      <c r="P169" s="2631">
        <f t="shared" si="184"/>
        <v>1682000</v>
      </c>
      <c r="Q169" s="2635"/>
      <c r="R169" s="1826">
        <v>1682000</v>
      </c>
      <c r="S169" s="2577"/>
      <c r="T169" s="2635"/>
      <c r="U169" s="2635"/>
      <c r="V169" s="2635"/>
      <c r="W169" s="2635"/>
      <c r="X169" s="2635"/>
      <c r="Y169" s="2635"/>
      <c r="Z169" s="2577"/>
      <c r="AA169" s="2577"/>
      <c r="AB169" s="2577"/>
      <c r="AC169" s="2636">
        <v>1682000</v>
      </c>
      <c r="AD169" s="2577"/>
      <c r="AE169" s="2577"/>
      <c r="AF169" s="2577"/>
      <c r="AG169" s="2577"/>
      <c r="AH169" s="2577"/>
      <c r="AI169" s="2577"/>
      <c r="AJ169" s="2577"/>
      <c r="AK169" s="2577"/>
      <c r="AL169" s="2577"/>
      <c r="AM169" s="2577"/>
      <c r="AN169" s="2577"/>
      <c r="AO169" s="2577"/>
      <c r="AP169" s="2577"/>
      <c r="AQ169" s="2577"/>
      <c r="AR169" s="2577"/>
      <c r="AS169" s="2577"/>
      <c r="AT169" s="2597"/>
      <c r="AU169" s="2597"/>
      <c r="AV169" s="2597"/>
      <c r="AW169" s="2597"/>
      <c r="AX169" s="2597"/>
      <c r="AY169" s="2597"/>
      <c r="AZ169" s="2597"/>
      <c r="BA169" s="2597"/>
      <c r="BB169" s="2597"/>
      <c r="BC169" s="2597"/>
      <c r="BD169" s="2597"/>
      <c r="BE169" s="2597"/>
      <c r="BF169" s="2597"/>
      <c r="BG169" s="2597"/>
      <c r="BH169" s="2597"/>
      <c r="BI169" s="2597"/>
      <c r="BJ169" s="2597"/>
      <c r="BK169" s="2597"/>
      <c r="BL169" s="2597"/>
      <c r="BM169" s="2597"/>
      <c r="BN169" s="2597"/>
      <c r="BO169" s="2597"/>
      <c r="BP169" s="2597"/>
    </row>
    <row r="170" spans="1:68" s="2598" customFormat="1" ht="51" x14ac:dyDescent="0.25">
      <c r="A170" s="2581">
        <v>22</v>
      </c>
      <c r="B170" s="1356" t="s">
        <v>2021</v>
      </c>
      <c r="C170" s="2576"/>
      <c r="D170" s="2577"/>
      <c r="E170" s="2577"/>
      <c r="F170" s="2577"/>
      <c r="G170" s="2577"/>
      <c r="H170" s="2577"/>
      <c r="I170" s="2577"/>
      <c r="J170" s="2577"/>
      <c r="K170" s="2577"/>
      <c r="L170" s="2577">
        <f t="shared" si="183"/>
        <v>197800</v>
      </c>
      <c r="M170" s="2577"/>
      <c r="N170" s="2577"/>
      <c r="O170" s="2577"/>
      <c r="P170" s="2578">
        <f t="shared" si="184"/>
        <v>197800</v>
      </c>
      <c r="Q170" s="2578"/>
      <c r="R170" s="1826">
        <v>197800</v>
      </c>
      <c r="S170" s="2577"/>
      <c r="T170" s="2578"/>
      <c r="U170" s="2578"/>
      <c r="V170" s="2578"/>
      <c r="W170" s="2578"/>
      <c r="X170" s="2578"/>
      <c r="Y170" s="2578"/>
      <c r="Z170" s="2577"/>
      <c r="AA170" s="2577"/>
      <c r="AB170" s="2577"/>
      <c r="AC170" s="2577">
        <v>197800</v>
      </c>
      <c r="AD170" s="2577"/>
      <c r="AE170" s="2577"/>
      <c r="AF170" s="2577"/>
      <c r="AG170" s="2577"/>
      <c r="AH170" s="2577"/>
      <c r="AI170" s="2577"/>
      <c r="AJ170" s="2577"/>
      <c r="AK170" s="2577"/>
      <c r="AL170" s="2577"/>
      <c r="AM170" s="2577"/>
      <c r="AN170" s="2577"/>
      <c r="AO170" s="2577"/>
      <c r="AP170" s="2577"/>
      <c r="AQ170" s="2577"/>
      <c r="AR170" s="2577"/>
      <c r="AS170" s="2577"/>
      <c r="AT170" s="2597"/>
      <c r="AU170" s="2597"/>
      <c r="AV170" s="2597"/>
      <c r="AW170" s="2597"/>
      <c r="AX170" s="2597"/>
      <c r="AY170" s="2597"/>
      <c r="AZ170" s="2597"/>
      <c r="BA170" s="2597"/>
      <c r="BB170" s="2597"/>
      <c r="BC170" s="2597"/>
      <c r="BD170" s="2597"/>
      <c r="BE170" s="2597"/>
      <c r="BF170" s="2597"/>
      <c r="BG170" s="2597"/>
      <c r="BH170" s="2597"/>
      <c r="BI170" s="2597"/>
      <c r="BJ170" s="2597"/>
      <c r="BK170" s="2597"/>
      <c r="BL170" s="2597"/>
      <c r="BM170" s="2597"/>
      <c r="BN170" s="2597"/>
      <c r="BO170" s="2597"/>
      <c r="BP170" s="2597"/>
    </row>
    <row r="171" spans="1:68" s="2598" customFormat="1" ht="38.25" x14ac:dyDescent="0.25">
      <c r="A171" s="2581">
        <v>23</v>
      </c>
      <c r="B171" s="1357" t="s">
        <v>1399</v>
      </c>
      <c r="C171" s="2576"/>
      <c r="D171" s="2577"/>
      <c r="E171" s="2577"/>
      <c r="F171" s="2577"/>
      <c r="G171" s="2577"/>
      <c r="H171" s="2577"/>
      <c r="I171" s="2577"/>
      <c r="J171" s="2577"/>
      <c r="K171" s="2577"/>
      <c r="L171" s="2577">
        <f t="shared" si="183"/>
        <v>5000000</v>
      </c>
      <c r="M171" s="2577"/>
      <c r="N171" s="2577"/>
      <c r="O171" s="2577"/>
      <c r="P171" s="2578">
        <f t="shared" si="184"/>
        <v>5000000</v>
      </c>
      <c r="Q171" s="2578"/>
      <c r="R171" s="2250">
        <v>5000000</v>
      </c>
      <c r="S171" s="2577"/>
      <c r="T171" s="2578"/>
      <c r="U171" s="2578"/>
      <c r="V171" s="2578"/>
      <c r="W171" s="2578"/>
      <c r="X171" s="2578"/>
      <c r="Y171" s="2578"/>
      <c r="Z171" s="2577"/>
      <c r="AA171" s="2577"/>
      <c r="AB171" s="2577"/>
      <c r="AC171" s="2577"/>
      <c r="AD171" s="2577"/>
      <c r="AE171" s="2577"/>
      <c r="AF171" s="2577">
        <f>L171</f>
        <v>5000000</v>
      </c>
      <c r="AG171" s="2577"/>
      <c r="AH171" s="2577"/>
      <c r="AI171" s="2577"/>
      <c r="AJ171" s="2577"/>
      <c r="AK171" s="2577"/>
      <c r="AL171" s="2577"/>
      <c r="AM171" s="2577"/>
      <c r="AN171" s="2577"/>
      <c r="AO171" s="2577"/>
      <c r="AP171" s="2577"/>
      <c r="AQ171" s="2577"/>
      <c r="AR171" s="2577"/>
      <c r="AS171" s="2577"/>
      <c r="AT171" s="2597"/>
      <c r="AU171" s="2597"/>
      <c r="AV171" s="2597"/>
      <c r="AW171" s="2597"/>
      <c r="AX171" s="2597"/>
      <c r="AY171" s="2597"/>
      <c r="AZ171" s="2597"/>
      <c r="BA171" s="2597"/>
      <c r="BB171" s="2597"/>
      <c r="BC171" s="2597"/>
      <c r="BD171" s="2597"/>
      <c r="BE171" s="2597"/>
      <c r="BF171" s="2597"/>
      <c r="BG171" s="2597"/>
      <c r="BH171" s="2597"/>
      <c r="BI171" s="2597"/>
      <c r="BJ171" s="2597"/>
      <c r="BK171" s="2597"/>
      <c r="BL171" s="2597"/>
      <c r="BM171" s="2597"/>
      <c r="BN171" s="2597"/>
      <c r="BO171" s="2597"/>
      <c r="BP171" s="2597"/>
    </row>
    <row r="173" spans="1:68" x14ac:dyDescent="0.2">
      <c r="AK173" s="1271"/>
      <c r="AL173" s="1271"/>
      <c r="AM173" s="1284"/>
      <c r="AN173" s="1284"/>
      <c r="AO173" s="1284"/>
      <c r="AP173" s="1287" t="s">
        <v>2088</v>
      </c>
      <c r="AQ173" s="1287"/>
      <c r="AR173" s="1284"/>
      <c r="AS173" s="1271"/>
    </row>
    <row r="174" spans="1:68" x14ac:dyDescent="0.2">
      <c r="AH174" s="3401" t="s">
        <v>1075</v>
      </c>
      <c r="AI174" s="3401"/>
      <c r="AJ174" s="3401"/>
      <c r="AK174" s="3401"/>
      <c r="AL174" s="3401"/>
      <c r="AM174" s="3401"/>
      <c r="AN174" s="3401"/>
      <c r="AO174" s="3401"/>
      <c r="AP174" s="3401"/>
      <c r="AQ174" s="3401"/>
      <c r="AR174" s="3401"/>
      <c r="AS174" s="1263"/>
    </row>
    <row r="175" spans="1:68" x14ac:dyDescent="0.2">
      <c r="AH175" s="3400" t="s">
        <v>12</v>
      </c>
      <c r="AI175" s="3400"/>
      <c r="AJ175" s="3400"/>
      <c r="AK175" s="3400"/>
      <c r="AL175" s="3400"/>
      <c r="AM175" s="3400"/>
      <c r="AN175" s="3400"/>
      <c r="AO175" s="3400"/>
      <c r="AP175" s="3400"/>
      <c r="AQ175" s="3400"/>
      <c r="AR175" s="3400"/>
      <c r="AS175" s="1284"/>
    </row>
    <row r="176" spans="1:68" x14ac:dyDescent="0.2">
      <c r="AK176" s="1271"/>
      <c r="AL176" s="1271"/>
      <c r="AM176" s="1271"/>
      <c r="AN176" s="1271"/>
      <c r="AO176" s="1271"/>
      <c r="AP176" s="1271"/>
      <c r="AQ176" s="1271"/>
      <c r="AR176" s="1271"/>
      <c r="AS176" s="1271"/>
    </row>
  </sheetData>
  <mergeCells count="39">
    <mergeCell ref="AD6:AD7"/>
    <mergeCell ref="AE6:AE7"/>
    <mergeCell ref="AF6:AF7"/>
    <mergeCell ref="AH175:AR175"/>
    <mergeCell ref="AH6:AI6"/>
    <mergeCell ref="AJ6:AK6"/>
    <mergeCell ref="AL6:AM6"/>
    <mergeCell ref="AN6:AO6"/>
    <mergeCell ref="AP6:AQ6"/>
    <mergeCell ref="AH174:AR174"/>
    <mergeCell ref="AD5:AF5"/>
    <mergeCell ref="AG5:AQ5"/>
    <mergeCell ref="AR5:AR7"/>
    <mergeCell ref="AS5:AS7"/>
    <mergeCell ref="C6:C7"/>
    <mergeCell ref="D6:E6"/>
    <mergeCell ref="F6:G6"/>
    <mergeCell ref="H6:I6"/>
    <mergeCell ref="J6:K6"/>
    <mergeCell ref="L6:L7"/>
    <mergeCell ref="AG6:AG7"/>
    <mergeCell ref="M6:O6"/>
    <mergeCell ref="P6:R6"/>
    <mergeCell ref="S6:S7"/>
    <mergeCell ref="T6:U6"/>
    <mergeCell ref="V6:W6"/>
    <mergeCell ref="A1:B1"/>
    <mergeCell ref="AC1:AS1"/>
    <mergeCell ref="A2:AS2"/>
    <mergeCell ref="A3:AS3"/>
    <mergeCell ref="AP4:AS4"/>
    <mergeCell ref="A5:A7"/>
    <mergeCell ref="B5:B7"/>
    <mergeCell ref="C5:K5"/>
    <mergeCell ref="L5:R5"/>
    <mergeCell ref="S5:AC5"/>
    <mergeCell ref="X6:Y6"/>
    <mergeCell ref="Z6:AA6"/>
    <mergeCell ref="AB6:AC6"/>
  </mergeCells>
  <pageMargins left="0.45" right="0.45" top="0.75" bottom="0.5" header="0.3" footer="0.3"/>
  <pageSetup paperSize="9" scale="41" firstPageNumber="94" orientation="landscape" useFirstPageNumber="1" verticalDpi="0" r:id="rId1"/>
  <headerFooter>
    <oddFooter>&amp;C&amp;P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7CC8D-7286-47B3-A620-91095B2B9135}">
  <sheetPr>
    <tabColor theme="3" tint="0.39997558519241921"/>
  </sheetPr>
  <dimension ref="A1:E43"/>
  <sheetViews>
    <sheetView topLeftCell="A4" workbookViewId="0">
      <selection activeCell="C21" sqref="C21"/>
    </sheetView>
  </sheetViews>
  <sheetFormatPr defaultRowHeight="16.5" x14ac:dyDescent="0.25"/>
  <cols>
    <col min="1" max="1" width="6.85546875" style="1290" customWidth="1"/>
    <col min="2" max="2" width="17.7109375" style="1245" customWidth="1"/>
    <col min="3" max="3" width="63.5703125" style="1245" customWidth="1"/>
    <col min="4" max="4" width="31" style="1304" customWidth="1"/>
    <col min="5" max="5" width="9.140625" style="1290"/>
    <col min="6" max="16384" width="9.140625" style="1245"/>
  </cols>
  <sheetData>
    <row r="1" spans="1:5" x14ac:dyDescent="0.25">
      <c r="A1" s="3119"/>
      <c r="B1" s="3119"/>
      <c r="C1" s="3119"/>
      <c r="D1" s="3119"/>
    </row>
    <row r="2" spans="1:5" ht="18.75" x14ac:dyDescent="0.3">
      <c r="A2" s="3120" t="s">
        <v>1149</v>
      </c>
      <c r="B2" s="3121"/>
      <c r="C2" s="3121"/>
      <c r="D2" s="3121"/>
    </row>
    <row r="3" spans="1:5" hidden="1" x14ac:dyDescent="0.25">
      <c r="A3" s="3122" t="s">
        <v>2213</v>
      </c>
      <c r="B3" s="3122"/>
      <c r="C3" s="3122"/>
      <c r="D3" s="3122"/>
    </row>
    <row r="5" spans="1:5" ht="28.5" customHeight="1" x14ac:dyDescent="0.25">
      <c r="A5" s="1249" t="s">
        <v>0</v>
      </c>
      <c r="B5" s="1249" t="s">
        <v>1150</v>
      </c>
      <c r="C5" s="1249" t="s">
        <v>1</v>
      </c>
      <c r="D5" s="1249" t="s">
        <v>55</v>
      </c>
    </row>
    <row r="6" spans="1:5" s="1307" customFormat="1" ht="42" customHeight="1" x14ac:dyDescent="0.25">
      <c r="A6" s="1255" t="s">
        <v>5</v>
      </c>
      <c r="B6" s="3123" t="s">
        <v>1151</v>
      </c>
      <c r="C6" s="3124"/>
      <c r="D6" s="1255" t="s">
        <v>982</v>
      </c>
      <c r="E6" s="2673"/>
    </row>
    <row r="7" spans="1:5" s="1307" customFormat="1" ht="18.75" x14ac:dyDescent="0.25">
      <c r="A7" s="1242">
        <v>1</v>
      </c>
      <c r="B7" s="1308" t="s">
        <v>2214</v>
      </c>
      <c r="C7" s="1308" t="s">
        <v>2215</v>
      </c>
      <c r="D7" s="2881" t="s">
        <v>376</v>
      </c>
      <c r="E7" s="2673"/>
    </row>
    <row r="8" spans="1:5" s="1307" customFormat="1" ht="33" x14ac:dyDescent="0.25">
      <c r="A8" s="1242">
        <v>2</v>
      </c>
      <c r="B8" s="1308" t="s">
        <v>2216</v>
      </c>
      <c r="C8" s="1308" t="s">
        <v>2217</v>
      </c>
      <c r="D8" s="68" t="s">
        <v>2236</v>
      </c>
      <c r="E8" s="2673"/>
    </row>
    <row r="9" spans="1:5" s="1307" customFormat="1" ht="33" x14ac:dyDescent="0.25">
      <c r="A9" s="1242">
        <v>3</v>
      </c>
      <c r="B9" s="1308" t="s">
        <v>2218</v>
      </c>
      <c r="C9" s="1308" t="s">
        <v>2219</v>
      </c>
      <c r="D9" s="2881" t="s">
        <v>376</v>
      </c>
      <c r="E9" s="2673"/>
    </row>
    <row r="10" spans="1:5" s="1307" customFormat="1" ht="18.75" x14ac:dyDescent="0.25">
      <c r="A10" s="1242">
        <v>4</v>
      </c>
      <c r="B10" s="1308" t="s">
        <v>2220</v>
      </c>
      <c r="C10" s="1308" t="s">
        <v>2221</v>
      </c>
      <c r="D10" s="2881" t="s">
        <v>376</v>
      </c>
      <c r="E10" s="2673"/>
    </row>
    <row r="11" spans="1:5" s="1307" customFormat="1" ht="33" x14ac:dyDescent="0.25">
      <c r="A11" s="1242">
        <v>5</v>
      </c>
      <c r="B11" s="1308" t="s">
        <v>2222</v>
      </c>
      <c r="C11" s="1308" t="s">
        <v>2223</v>
      </c>
      <c r="D11" s="2881" t="s">
        <v>376</v>
      </c>
      <c r="E11" s="2673"/>
    </row>
    <row r="12" spans="1:5" s="1307" customFormat="1" ht="33" x14ac:dyDescent="0.25">
      <c r="A12" s="1242">
        <v>6</v>
      </c>
      <c r="B12" s="1308" t="s">
        <v>2224</v>
      </c>
      <c r="C12" s="1308" t="s">
        <v>2225</v>
      </c>
      <c r="D12" s="2881" t="s">
        <v>376</v>
      </c>
      <c r="E12" s="2673"/>
    </row>
    <row r="13" spans="1:5" s="1307" customFormat="1" ht="33" x14ac:dyDescent="0.25">
      <c r="A13" s="1242">
        <v>7</v>
      </c>
      <c r="B13" s="1308" t="s">
        <v>2226</v>
      </c>
      <c r="C13" s="1308" t="s">
        <v>2227</v>
      </c>
      <c r="D13" s="2881" t="s">
        <v>376</v>
      </c>
      <c r="E13" s="2673"/>
    </row>
    <row r="14" spans="1:5" s="1307" customFormat="1" ht="33" x14ac:dyDescent="0.25">
      <c r="A14" s="1242">
        <v>8</v>
      </c>
      <c r="B14" s="1308" t="s">
        <v>2228</v>
      </c>
      <c r="C14" s="1308" t="s">
        <v>2229</v>
      </c>
      <c r="D14" s="2881" t="s">
        <v>376</v>
      </c>
      <c r="E14" s="2673"/>
    </row>
    <row r="15" spans="1:5" s="1307" customFormat="1" ht="33" x14ac:dyDescent="0.25">
      <c r="A15" s="1242">
        <v>9</v>
      </c>
      <c r="B15" s="1308" t="s">
        <v>2230</v>
      </c>
      <c r="C15" s="1308" t="s">
        <v>2231</v>
      </c>
      <c r="D15" s="2881" t="s">
        <v>376</v>
      </c>
      <c r="E15" s="2673"/>
    </row>
    <row r="16" spans="1:5" s="1307" customFormat="1" ht="49.5" x14ac:dyDescent="0.25">
      <c r="A16" s="1242">
        <v>10</v>
      </c>
      <c r="B16" s="1308" t="s">
        <v>2232</v>
      </c>
      <c r="C16" s="1308" t="s">
        <v>2233</v>
      </c>
      <c r="D16" s="2881" t="s">
        <v>376</v>
      </c>
      <c r="E16" s="2673"/>
    </row>
    <row r="17" spans="1:5" s="1307" customFormat="1" ht="33" x14ac:dyDescent="0.25">
      <c r="A17" s="1242">
        <v>11</v>
      </c>
      <c r="B17" s="1308" t="s">
        <v>2234</v>
      </c>
      <c r="C17" s="1308" t="s">
        <v>2235</v>
      </c>
      <c r="D17" s="68" t="s">
        <v>2236</v>
      </c>
      <c r="E17" s="2673"/>
    </row>
    <row r="18" spans="1:5" s="1307" customFormat="1" ht="33" x14ac:dyDescent="0.25">
      <c r="A18" s="1242">
        <v>12</v>
      </c>
      <c r="B18" s="1308" t="s">
        <v>2237</v>
      </c>
      <c r="C18" s="1308" t="s">
        <v>2238</v>
      </c>
      <c r="D18" s="68" t="s">
        <v>2236</v>
      </c>
      <c r="E18" s="2673"/>
    </row>
    <row r="19" spans="1:5" s="1307" customFormat="1" ht="18.75" x14ac:dyDescent="0.25">
      <c r="A19" s="1242">
        <v>13</v>
      </c>
      <c r="B19" s="1308" t="s">
        <v>1153</v>
      </c>
      <c r="C19" s="1308" t="s">
        <v>2239</v>
      </c>
      <c r="D19" s="68" t="s">
        <v>2236</v>
      </c>
      <c r="E19" s="2673"/>
    </row>
    <row r="20" spans="1:5" s="1307" customFormat="1" ht="18.75" x14ac:dyDescent="0.25">
      <c r="A20" s="1242">
        <v>14</v>
      </c>
      <c r="B20" s="1308" t="s">
        <v>1155</v>
      </c>
      <c r="C20" s="1308" t="s">
        <v>2240</v>
      </c>
      <c r="D20" s="2881" t="s">
        <v>376</v>
      </c>
      <c r="E20" s="2673"/>
    </row>
    <row r="21" spans="1:5" s="1307" customFormat="1" ht="33" x14ac:dyDescent="0.25">
      <c r="A21" s="1242">
        <v>15</v>
      </c>
      <c r="B21" s="1308" t="s">
        <v>1157</v>
      </c>
      <c r="C21" s="1308" t="s">
        <v>2241</v>
      </c>
      <c r="D21" s="2881" t="s">
        <v>376</v>
      </c>
      <c r="E21" s="2673"/>
    </row>
    <row r="22" spans="1:5" s="1307" customFormat="1" ht="33" x14ac:dyDescent="0.25">
      <c r="A22" s="1242">
        <v>16</v>
      </c>
      <c r="B22" s="1308" t="s">
        <v>1160</v>
      </c>
      <c r="C22" s="1308" t="s">
        <v>2242</v>
      </c>
      <c r="D22" s="2881" t="s">
        <v>376</v>
      </c>
      <c r="E22" s="2673"/>
    </row>
    <row r="23" spans="1:5" s="1307" customFormat="1" ht="33" x14ac:dyDescent="0.25">
      <c r="A23" s="1316">
        <v>17</v>
      </c>
      <c r="B23" s="2847" t="s">
        <v>1162</v>
      </c>
      <c r="C23" s="2847" t="s">
        <v>2243</v>
      </c>
      <c r="D23" s="2882" t="s">
        <v>376</v>
      </c>
      <c r="E23" s="2673"/>
    </row>
    <row r="24" spans="1:5" s="1307" customFormat="1" ht="18.75" hidden="1" x14ac:dyDescent="0.25">
      <c r="A24" s="1252" t="s">
        <v>11</v>
      </c>
      <c r="B24" s="3127" t="s">
        <v>1152</v>
      </c>
      <c r="C24" s="3128"/>
      <c r="D24" s="684" t="s">
        <v>982</v>
      </c>
      <c r="E24" s="2673"/>
    </row>
    <row r="25" spans="1:5" s="1310" customFormat="1" ht="18.75" hidden="1" x14ac:dyDescent="0.25">
      <c r="A25" s="1242">
        <v>1</v>
      </c>
      <c r="B25" s="1308" t="s">
        <v>1153</v>
      </c>
      <c r="C25" s="1309" t="s">
        <v>1154</v>
      </c>
      <c r="D25" s="68"/>
      <c r="E25" s="2845"/>
    </row>
    <row r="26" spans="1:5" s="1310" customFormat="1" ht="18.75" hidden="1" x14ac:dyDescent="0.25">
      <c r="A26" s="1242">
        <v>2</v>
      </c>
      <c r="B26" s="1308" t="s">
        <v>1155</v>
      </c>
      <c r="C26" s="1309" t="s">
        <v>1156</v>
      </c>
      <c r="D26" s="68"/>
      <c r="E26" s="2845"/>
    </row>
    <row r="27" spans="1:5" s="1310" customFormat="1" ht="47.25" hidden="1" x14ac:dyDescent="0.25">
      <c r="A27" s="1242">
        <v>3</v>
      </c>
      <c r="B27" s="1308" t="s">
        <v>1157</v>
      </c>
      <c r="C27" s="1309" t="s">
        <v>1158</v>
      </c>
      <c r="D27" s="68" t="s">
        <v>1159</v>
      </c>
      <c r="E27" s="2845"/>
    </row>
    <row r="28" spans="1:5" s="1310" customFormat="1" ht="18.75" hidden="1" x14ac:dyDescent="0.25">
      <c r="A28" s="1242">
        <v>4</v>
      </c>
      <c r="B28" s="1308" t="s">
        <v>1160</v>
      </c>
      <c r="C28" s="1309" t="s">
        <v>1161</v>
      </c>
      <c r="D28" s="68"/>
      <c r="E28" s="2845"/>
    </row>
    <row r="29" spans="1:5" s="1310" customFormat="1" ht="18.75" hidden="1" x14ac:dyDescent="0.25">
      <c r="A29" s="1242">
        <v>5</v>
      </c>
      <c r="B29" s="1308" t="s">
        <v>1162</v>
      </c>
      <c r="C29" s="1309" t="s">
        <v>1163</v>
      </c>
      <c r="D29" s="68"/>
      <c r="E29" s="2845"/>
    </row>
    <row r="30" spans="1:5" s="1310" customFormat="1" ht="33" hidden="1" x14ac:dyDescent="0.25">
      <c r="A30" s="1242">
        <v>6</v>
      </c>
      <c r="B30" s="1308" t="s">
        <v>1164</v>
      </c>
      <c r="C30" s="1309" t="s">
        <v>1165</v>
      </c>
      <c r="D30" s="1311"/>
      <c r="E30" s="2845"/>
    </row>
    <row r="31" spans="1:5" s="1310" customFormat="1" ht="33" hidden="1" x14ac:dyDescent="0.25">
      <c r="A31" s="1242">
        <v>7</v>
      </c>
      <c r="B31" s="1308" t="s">
        <v>1166</v>
      </c>
      <c r="C31" s="1309" t="s">
        <v>1167</v>
      </c>
      <c r="D31" s="68"/>
      <c r="E31" s="2845"/>
    </row>
    <row r="32" spans="1:5" s="1310" customFormat="1" ht="18.75" hidden="1" x14ac:dyDescent="0.25">
      <c r="A32" s="1242">
        <v>8</v>
      </c>
      <c r="B32" s="1308" t="s">
        <v>1168</v>
      </c>
      <c r="C32" s="1309" t="s">
        <v>1169</v>
      </c>
      <c r="D32" s="68"/>
      <c r="E32" s="2845"/>
    </row>
    <row r="33" spans="1:5" s="1310" customFormat="1" ht="33" hidden="1" x14ac:dyDescent="0.25">
      <c r="A33" s="1242">
        <v>9</v>
      </c>
      <c r="B33" s="1308" t="s">
        <v>1170</v>
      </c>
      <c r="C33" s="1309" t="s">
        <v>1171</v>
      </c>
      <c r="D33" s="68"/>
      <c r="E33" s="2845"/>
    </row>
    <row r="34" spans="1:5" s="1310" customFormat="1" ht="18.75" hidden="1" x14ac:dyDescent="0.25">
      <c r="A34" s="1242">
        <v>10</v>
      </c>
      <c r="B34" s="1308" t="s">
        <v>1172</v>
      </c>
      <c r="C34" s="1309" t="s">
        <v>1173</v>
      </c>
      <c r="D34" s="68"/>
      <c r="E34" s="2845"/>
    </row>
    <row r="35" spans="1:5" s="1310" customFormat="1" ht="47.25" hidden="1" x14ac:dyDescent="0.25">
      <c r="A35" s="1242">
        <v>11</v>
      </c>
      <c r="B35" s="1308" t="s">
        <v>1047</v>
      </c>
      <c r="C35" s="1309" t="s">
        <v>1174</v>
      </c>
      <c r="D35" s="1052" t="s">
        <v>1175</v>
      </c>
      <c r="E35" s="2845"/>
    </row>
    <row r="36" spans="1:5" s="1312" customFormat="1" ht="18.75" hidden="1" x14ac:dyDescent="0.3">
      <c r="A36" s="1255" t="s">
        <v>17</v>
      </c>
      <c r="B36" s="3118" t="s">
        <v>1176</v>
      </c>
      <c r="C36" s="3118"/>
      <c r="D36" s="68" t="s">
        <v>982</v>
      </c>
      <c r="E36" s="2846"/>
    </row>
    <row r="37" spans="1:5" s="1312" customFormat="1" ht="18.75" hidden="1" x14ac:dyDescent="0.3">
      <c r="A37" s="1242">
        <v>1</v>
      </c>
      <c r="B37" s="1313" t="s">
        <v>1070</v>
      </c>
      <c r="C37" s="1243" t="s">
        <v>1177</v>
      </c>
      <c r="D37" s="68"/>
      <c r="E37" s="2846"/>
    </row>
    <row r="38" spans="1:5" s="1312" customFormat="1" ht="33" hidden="1" x14ac:dyDescent="0.3">
      <c r="A38" s="1242">
        <v>2</v>
      </c>
      <c r="B38" s="1313" t="s">
        <v>1076</v>
      </c>
      <c r="C38" s="1243" t="s">
        <v>1178</v>
      </c>
      <c r="D38" s="1052"/>
      <c r="E38" s="2846"/>
    </row>
    <row r="39" spans="1:5" s="1312" customFormat="1" ht="18.75" hidden="1" x14ac:dyDescent="0.3">
      <c r="A39" s="1242">
        <v>3</v>
      </c>
      <c r="B39" s="1313" t="s">
        <v>1085</v>
      </c>
      <c r="C39" s="1314" t="s">
        <v>1179</v>
      </c>
      <c r="D39" s="1315"/>
      <c r="E39" s="2846"/>
    </row>
    <row r="40" spans="1:5" s="1312" customFormat="1" ht="18.75" hidden="1" x14ac:dyDescent="0.3">
      <c r="A40" s="1242">
        <v>4</v>
      </c>
      <c r="B40" s="1313" t="s">
        <v>1090</v>
      </c>
      <c r="C40" s="1314" t="s">
        <v>1180</v>
      </c>
      <c r="D40" s="1315"/>
      <c r="E40" s="2846"/>
    </row>
    <row r="41" spans="1:5" s="1312" customFormat="1" ht="47.25" hidden="1" x14ac:dyDescent="0.3">
      <c r="A41" s="1242">
        <v>5</v>
      </c>
      <c r="B41" s="1313" t="s">
        <v>1096</v>
      </c>
      <c r="C41" s="1314" t="s">
        <v>1181</v>
      </c>
      <c r="D41" s="1315" t="s">
        <v>1182</v>
      </c>
      <c r="E41" s="2846"/>
    </row>
    <row r="42" spans="1:5" s="1312" customFormat="1" ht="18.75" hidden="1" x14ac:dyDescent="0.3">
      <c r="A42" s="1242">
        <v>6</v>
      </c>
      <c r="B42" s="1313" t="s">
        <v>1125</v>
      </c>
      <c r="C42" s="1314" t="s">
        <v>1183</v>
      </c>
      <c r="D42" s="1315"/>
      <c r="E42" s="2846"/>
    </row>
    <row r="43" spans="1:5" s="1312" customFormat="1" ht="18.75" hidden="1" x14ac:dyDescent="0.3">
      <c r="A43" s="1316">
        <v>7</v>
      </c>
      <c r="B43" s="1317" t="s">
        <v>1137</v>
      </c>
      <c r="C43" s="1244" t="s">
        <v>1184</v>
      </c>
      <c r="D43" s="1053"/>
      <c r="E43" s="2846"/>
    </row>
  </sheetData>
  <mergeCells count="6">
    <mergeCell ref="B36:C36"/>
    <mergeCell ref="A1:D1"/>
    <mergeCell ref="A2:D2"/>
    <mergeCell ref="A3:D3"/>
    <mergeCell ref="B6:C6"/>
    <mergeCell ref="B24:C24"/>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3DEDD-D273-4F29-AABE-8ECBD1217EA6}">
  <dimension ref="A1:X59"/>
  <sheetViews>
    <sheetView zoomScaleNormal="100" workbookViewId="0">
      <selection activeCell="C21" sqref="C21"/>
    </sheetView>
  </sheetViews>
  <sheetFormatPr defaultRowHeight="12.75" x14ac:dyDescent="0.2"/>
  <cols>
    <col min="1" max="1" width="6" style="119" customWidth="1"/>
    <col min="2" max="2" width="52.140625" style="119" customWidth="1"/>
    <col min="3" max="3" width="18.85546875" style="2644" customWidth="1"/>
    <col min="4" max="4" width="19.140625" style="119" customWidth="1"/>
    <col min="5" max="5" width="15.140625" style="119" customWidth="1"/>
    <col min="6" max="6" width="17.42578125" style="119" customWidth="1"/>
    <col min="7" max="7" width="15.140625" style="119" customWidth="1"/>
    <col min="8" max="8" width="17.28515625" style="119" customWidth="1"/>
    <col min="9" max="9" width="11.7109375" style="119" customWidth="1"/>
    <col min="10" max="10" width="11.7109375" style="119" bestFit="1" customWidth="1"/>
    <col min="11" max="11" width="10.140625" style="119" customWidth="1"/>
    <col min="12" max="12" width="11.42578125" style="119" customWidth="1"/>
    <col min="13" max="13" width="27.140625" style="168" customWidth="1"/>
    <col min="14" max="14" width="16.42578125" style="2646" customWidth="1"/>
    <col min="15" max="15" width="13.140625" style="2646" customWidth="1"/>
    <col min="16" max="16" width="10.7109375" style="2646" customWidth="1"/>
    <col min="17" max="17" width="10.85546875" style="2646" customWidth="1"/>
    <col min="18" max="18" width="10.42578125" style="2646" customWidth="1"/>
    <col min="19" max="19" width="10.7109375" style="119" customWidth="1"/>
    <col min="20" max="22" width="12.5703125" style="119" customWidth="1"/>
    <col min="23" max="23" width="9.5703125" style="119" bestFit="1" customWidth="1"/>
    <col min="24" max="256" width="9.140625" style="119"/>
    <col min="257" max="257" width="6" style="119" customWidth="1"/>
    <col min="258" max="258" width="52.140625" style="119" customWidth="1"/>
    <col min="259" max="259" width="18.85546875" style="119" customWidth="1"/>
    <col min="260" max="260" width="19.140625" style="119" customWidth="1"/>
    <col min="261" max="261" width="15.140625" style="119" customWidth="1"/>
    <col min="262" max="262" width="17.42578125" style="119" customWidth="1"/>
    <col min="263" max="263" width="15.140625" style="119" customWidth="1"/>
    <col min="264" max="264" width="17.28515625" style="119" customWidth="1"/>
    <col min="265" max="265" width="11.7109375" style="119" customWidth="1"/>
    <col min="266" max="266" width="11.7109375" style="119" bestFit="1" customWidth="1"/>
    <col min="267" max="267" width="10.140625" style="119" customWidth="1"/>
    <col min="268" max="268" width="11.42578125" style="119" customWidth="1"/>
    <col min="269" max="269" width="27.140625" style="119" customWidth="1"/>
    <col min="270" max="270" width="16.42578125" style="119" customWidth="1"/>
    <col min="271" max="271" width="13.140625" style="119" customWidth="1"/>
    <col min="272" max="272" width="10.7109375" style="119" customWidth="1"/>
    <col min="273" max="273" width="10.85546875" style="119" customWidth="1"/>
    <col min="274" max="274" width="10.42578125" style="119" customWidth="1"/>
    <col min="275" max="275" width="10.7109375" style="119" customWidth="1"/>
    <col min="276" max="278" width="12.5703125" style="119" customWidth="1"/>
    <col min="279" max="279" width="9.5703125" style="119" bestFit="1" customWidth="1"/>
    <col min="280" max="512" width="9.140625" style="119"/>
    <col min="513" max="513" width="6" style="119" customWidth="1"/>
    <col min="514" max="514" width="52.140625" style="119" customWidth="1"/>
    <col min="515" max="515" width="18.85546875" style="119" customWidth="1"/>
    <col min="516" max="516" width="19.140625" style="119" customWidth="1"/>
    <col min="517" max="517" width="15.140625" style="119" customWidth="1"/>
    <col min="518" max="518" width="17.42578125" style="119" customWidth="1"/>
    <col min="519" max="519" width="15.140625" style="119" customWidth="1"/>
    <col min="520" max="520" width="17.28515625" style="119" customWidth="1"/>
    <col min="521" max="521" width="11.7109375" style="119" customWidth="1"/>
    <col min="522" max="522" width="11.7109375" style="119" bestFit="1" customWidth="1"/>
    <col min="523" max="523" width="10.140625" style="119" customWidth="1"/>
    <col min="524" max="524" width="11.42578125" style="119" customWidth="1"/>
    <col min="525" max="525" width="27.140625" style="119" customWidth="1"/>
    <col min="526" max="526" width="16.42578125" style="119" customWidth="1"/>
    <col min="527" max="527" width="13.140625" style="119" customWidth="1"/>
    <col min="528" max="528" width="10.7109375" style="119" customWidth="1"/>
    <col min="529" max="529" width="10.85546875" style="119" customWidth="1"/>
    <col min="530" max="530" width="10.42578125" style="119" customWidth="1"/>
    <col min="531" max="531" width="10.7109375" style="119" customWidth="1"/>
    <col min="532" max="534" width="12.5703125" style="119" customWidth="1"/>
    <col min="535" max="535" width="9.5703125" style="119" bestFit="1" customWidth="1"/>
    <col min="536" max="768" width="9.140625" style="119"/>
    <col min="769" max="769" width="6" style="119" customWidth="1"/>
    <col min="770" max="770" width="52.140625" style="119" customWidth="1"/>
    <col min="771" max="771" width="18.85546875" style="119" customWidth="1"/>
    <col min="772" max="772" width="19.140625" style="119" customWidth="1"/>
    <col min="773" max="773" width="15.140625" style="119" customWidth="1"/>
    <col min="774" max="774" width="17.42578125" style="119" customWidth="1"/>
    <col min="775" max="775" width="15.140625" style="119" customWidth="1"/>
    <col min="776" max="776" width="17.28515625" style="119" customWidth="1"/>
    <col min="777" max="777" width="11.7109375" style="119" customWidth="1"/>
    <col min="778" max="778" width="11.7109375" style="119" bestFit="1" customWidth="1"/>
    <col min="779" max="779" width="10.140625" style="119" customWidth="1"/>
    <col min="780" max="780" width="11.42578125" style="119" customWidth="1"/>
    <col min="781" max="781" width="27.140625" style="119" customWidth="1"/>
    <col min="782" max="782" width="16.42578125" style="119" customWidth="1"/>
    <col min="783" max="783" width="13.140625" style="119" customWidth="1"/>
    <col min="784" max="784" width="10.7109375" style="119" customWidth="1"/>
    <col min="785" max="785" width="10.85546875" style="119" customWidth="1"/>
    <col min="786" max="786" width="10.42578125" style="119" customWidth="1"/>
    <col min="787" max="787" width="10.7109375" style="119" customWidth="1"/>
    <col min="788" max="790" width="12.5703125" style="119" customWidth="1"/>
    <col min="791" max="791" width="9.5703125" style="119" bestFit="1" customWidth="1"/>
    <col min="792" max="1024" width="9.140625" style="119"/>
    <col min="1025" max="1025" width="6" style="119" customWidth="1"/>
    <col min="1026" max="1026" width="52.140625" style="119" customWidth="1"/>
    <col min="1027" max="1027" width="18.85546875" style="119" customWidth="1"/>
    <col min="1028" max="1028" width="19.140625" style="119" customWidth="1"/>
    <col min="1029" max="1029" width="15.140625" style="119" customWidth="1"/>
    <col min="1030" max="1030" width="17.42578125" style="119" customWidth="1"/>
    <col min="1031" max="1031" width="15.140625" style="119" customWidth="1"/>
    <col min="1032" max="1032" width="17.28515625" style="119" customWidth="1"/>
    <col min="1033" max="1033" width="11.7109375" style="119" customWidth="1"/>
    <col min="1034" max="1034" width="11.7109375" style="119" bestFit="1" customWidth="1"/>
    <col min="1035" max="1035" width="10.140625" style="119" customWidth="1"/>
    <col min="1036" max="1036" width="11.42578125" style="119" customWidth="1"/>
    <col min="1037" max="1037" width="27.140625" style="119" customWidth="1"/>
    <col min="1038" max="1038" width="16.42578125" style="119" customWidth="1"/>
    <col min="1039" max="1039" width="13.140625" style="119" customWidth="1"/>
    <col min="1040" max="1040" width="10.7109375" style="119" customWidth="1"/>
    <col min="1041" max="1041" width="10.85546875" style="119" customWidth="1"/>
    <col min="1042" max="1042" width="10.42578125" style="119" customWidth="1"/>
    <col min="1043" max="1043" width="10.7109375" style="119" customWidth="1"/>
    <col min="1044" max="1046" width="12.5703125" style="119" customWidth="1"/>
    <col min="1047" max="1047" width="9.5703125" style="119" bestFit="1" customWidth="1"/>
    <col min="1048" max="1280" width="9.140625" style="119"/>
    <col min="1281" max="1281" width="6" style="119" customWidth="1"/>
    <col min="1282" max="1282" width="52.140625" style="119" customWidth="1"/>
    <col min="1283" max="1283" width="18.85546875" style="119" customWidth="1"/>
    <col min="1284" max="1284" width="19.140625" style="119" customWidth="1"/>
    <col min="1285" max="1285" width="15.140625" style="119" customWidth="1"/>
    <col min="1286" max="1286" width="17.42578125" style="119" customWidth="1"/>
    <col min="1287" max="1287" width="15.140625" style="119" customWidth="1"/>
    <col min="1288" max="1288" width="17.28515625" style="119" customWidth="1"/>
    <col min="1289" max="1289" width="11.7109375" style="119" customWidth="1"/>
    <col min="1290" max="1290" width="11.7109375" style="119" bestFit="1" customWidth="1"/>
    <col min="1291" max="1291" width="10.140625" style="119" customWidth="1"/>
    <col min="1292" max="1292" width="11.42578125" style="119" customWidth="1"/>
    <col min="1293" max="1293" width="27.140625" style="119" customWidth="1"/>
    <col min="1294" max="1294" width="16.42578125" style="119" customWidth="1"/>
    <col min="1295" max="1295" width="13.140625" style="119" customWidth="1"/>
    <col min="1296" max="1296" width="10.7109375" style="119" customWidth="1"/>
    <col min="1297" max="1297" width="10.85546875" style="119" customWidth="1"/>
    <col min="1298" max="1298" width="10.42578125" style="119" customWidth="1"/>
    <col min="1299" max="1299" width="10.7109375" style="119" customWidth="1"/>
    <col min="1300" max="1302" width="12.5703125" style="119" customWidth="1"/>
    <col min="1303" max="1303" width="9.5703125" style="119" bestFit="1" customWidth="1"/>
    <col min="1304" max="1536" width="9.140625" style="119"/>
    <col min="1537" max="1537" width="6" style="119" customWidth="1"/>
    <col min="1538" max="1538" width="52.140625" style="119" customWidth="1"/>
    <col min="1539" max="1539" width="18.85546875" style="119" customWidth="1"/>
    <col min="1540" max="1540" width="19.140625" style="119" customWidth="1"/>
    <col min="1541" max="1541" width="15.140625" style="119" customWidth="1"/>
    <col min="1542" max="1542" width="17.42578125" style="119" customWidth="1"/>
    <col min="1543" max="1543" width="15.140625" style="119" customWidth="1"/>
    <col min="1544" max="1544" width="17.28515625" style="119" customWidth="1"/>
    <col min="1545" max="1545" width="11.7109375" style="119" customWidth="1"/>
    <col min="1546" max="1546" width="11.7109375" style="119" bestFit="1" customWidth="1"/>
    <col min="1547" max="1547" width="10.140625" style="119" customWidth="1"/>
    <col min="1548" max="1548" width="11.42578125" style="119" customWidth="1"/>
    <col min="1549" max="1549" width="27.140625" style="119" customWidth="1"/>
    <col min="1550" max="1550" width="16.42578125" style="119" customWidth="1"/>
    <col min="1551" max="1551" width="13.140625" style="119" customWidth="1"/>
    <col min="1552" max="1552" width="10.7109375" style="119" customWidth="1"/>
    <col min="1553" max="1553" width="10.85546875" style="119" customWidth="1"/>
    <col min="1554" max="1554" width="10.42578125" style="119" customWidth="1"/>
    <col min="1555" max="1555" width="10.7109375" style="119" customWidth="1"/>
    <col min="1556" max="1558" width="12.5703125" style="119" customWidth="1"/>
    <col min="1559" max="1559" width="9.5703125" style="119" bestFit="1" customWidth="1"/>
    <col min="1560" max="1792" width="9.140625" style="119"/>
    <col min="1793" max="1793" width="6" style="119" customWidth="1"/>
    <col min="1794" max="1794" width="52.140625" style="119" customWidth="1"/>
    <col min="1795" max="1795" width="18.85546875" style="119" customWidth="1"/>
    <col min="1796" max="1796" width="19.140625" style="119" customWidth="1"/>
    <col min="1797" max="1797" width="15.140625" style="119" customWidth="1"/>
    <col min="1798" max="1798" width="17.42578125" style="119" customWidth="1"/>
    <col min="1799" max="1799" width="15.140625" style="119" customWidth="1"/>
    <col min="1800" max="1800" width="17.28515625" style="119" customWidth="1"/>
    <col min="1801" max="1801" width="11.7109375" style="119" customWidth="1"/>
    <col min="1802" max="1802" width="11.7109375" style="119" bestFit="1" customWidth="1"/>
    <col min="1803" max="1803" width="10.140625" style="119" customWidth="1"/>
    <col min="1804" max="1804" width="11.42578125" style="119" customWidth="1"/>
    <col min="1805" max="1805" width="27.140625" style="119" customWidth="1"/>
    <col min="1806" max="1806" width="16.42578125" style="119" customWidth="1"/>
    <col min="1807" max="1807" width="13.140625" style="119" customWidth="1"/>
    <col min="1808" max="1808" width="10.7109375" style="119" customWidth="1"/>
    <col min="1809" max="1809" width="10.85546875" style="119" customWidth="1"/>
    <col min="1810" max="1810" width="10.42578125" style="119" customWidth="1"/>
    <col min="1811" max="1811" width="10.7109375" style="119" customWidth="1"/>
    <col min="1812" max="1814" width="12.5703125" style="119" customWidth="1"/>
    <col min="1815" max="1815" width="9.5703125" style="119" bestFit="1" customWidth="1"/>
    <col min="1816" max="2048" width="9.140625" style="119"/>
    <col min="2049" max="2049" width="6" style="119" customWidth="1"/>
    <col min="2050" max="2050" width="52.140625" style="119" customWidth="1"/>
    <col min="2051" max="2051" width="18.85546875" style="119" customWidth="1"/>
    <col min="2052" max="2052" width="19.140625" style="119" customWidth="1"/>
    <col min="2053" max="2053" width="15.140625" style="119" customWidth="1"/>
    <col min="2054" max="2054" width="17.42578125" style="119" customWidth="1"/>
    <col min="2055" max="2055" width="15.140625" style="119" customWidth="1"/>
    <col min="2056" max="2056" width="17.28515625" style="119" customWidth="1"/>
    <col min="2057" max="2057" width="11.7109375" style="119" customWidth="1"/>
    <col min="2058" max="2058" width="11.7109375" style="119" bestFit="1" customWidth="1"/>
    <col min="2059" max="2059" width="10.140625" style="119" customWidth="1"/>
    <col min="2060" max="2060" width="11.42578125" style="119" customWidth="1"/>
    <col min="2061" max="2061" width="27.140625" style="119" customWidth="1"/>
    <col min="2062" max="2062" width="16.42578125" style="119" customWidth="1"/>
    <col min="2063" max="2063" width="13.140625" style="119" customWidth="1"/>
    <col min="2064" max="2064" width="10.7109375" style="119" customWidth="1"/>
    <col min="2065" max="2065" width="10.85546875" style="119" customWidth="1"/>
    <col min="2066" max="2066" width="10.42578125" style="119" customWidth="1"/>
    <col min="2067" max="2067" width="10.7109375" style="119" customWidth="1"/>
    <col min="2068" max="2070" width="12.5703125" style="119" customWidth="1"/>
    <col min="2071" max="2071" width="9.5703125" style="119" bestFit="1" customWidth="1"/>
    <col min="2072" max="2304" width="9.140625" style="119"/>
    <col min="2305" max="2305" width="6" style="119" customWidth="1"/>
    <col min="2306" max="2306" width="52.140625" style="119" customWidth="1"/>
    <col min="2307" max="2307" width="18.85546875" style="119" customWidth="1"/>
    <col min="2308" max="2308" width="19.140625" style="119" customWidth="1"/>
    <col min="2309" max="2309" width="15.140625" style="119" customWidth="1"/>
    <col min="2310" max="2310" width="17.42578125" style="119" customWidth="1"/>
    <col min="2311" max="2311" width="15.140625" style="119" customWidth="1"/>
    <col min="2312" max="2312" width="17.28515625" style="119" customWidth="1"/>
    <col min="2313" max="2313" width="11.7109375" style="119" customWidth="1"/>
    <col min="2314" max="2314" width="11.7109375" style="119" bestFit="1" customWidth="1"/>
    <col min="2315" max="2315" width="10.140625" style="119" customWidth="1"/>
    <col min="2316" max="2316" width="11.42578125" style="119" customWidth="1"/>
    <col min="2317" max="2317" width="27.140625" style="119" customWidth="1"/>
    <col min="2318" max="2318" width="16.42578125" style="119" customWidth="1"/>
    <col min="2319" max="2319" width="13.140625" style="119" customWidth="1"/>
    <col min="2320" max="2320" width="10.7109375" style="119" customWidth="1"/>
    <col min="2321" max="2321" width="10.85546875" style="119" customWidth="1"/>
    <col min="2322" max="2322" width="10.42578125" style="119" customWidth="1"/>
    <col min="2323" max="2323" width="10.7109375" style="119" customWidth="1"/>
    <col min="2324" max="2326" width="12.5703125" style="119" customWidth="1"/>
    <col min="2327" max="2327" width="9.5703125" style="119" bestFit="1" customWidth="1"/>
    <col min="2328" max="2560" width="9.140625" style="119"/>
    <col min="2561" max="2561" width="6" style="119" customWidth="1"/>
    <col min="2562" max="2562" width="52.140625" style="119" customWidth="1"/>
    <col min="2563" max="2563" width="18.85546875" style="119" customWidth="1"/>
    <col min="2564" max="2564" width="19.140625" style="119" customWidth="1"/>
    <col min="2565" max="2565" width="15.140625" style="119" customWidth="1"/>
    <col min="2566" max="2566" width="17.42578125" style="119" customWidth="1"/>
    <col min="2567" max="2567" width="15.140625" style="119" customWidth="1"/>
    <col min="2568" max="2568" width="17.28515625" style="119" customWidth="1"/>
    <col min="2569" max="2569" width="11.7109375" style="119" customWidth="1"/>
    <col min="2570" max="2570" width="11.7109375" style="119" bestFit="1" customWidth="1"/>
    <col min="2571" max="2571" width="10.140625" style="119" customWidth="1"/>
    <col min="2572" max="2572" width="11.42578125" style="119" customWidth="1"/>
    <col min="2573" max="2573" width="27.140625" style="119" customWidth="1"/>
    <col min="2574" max="2574" width="16.42578125" style="119" customWidth="1"/>
    <col min="2575" max="2575" width="13.140625" style="119" customWidth="1"/>
    <col min="2576" max="2576" width="10.7109375" style="119" customWidth="1"/>
    <col min="2577" max="2577" width="10.85546875" style="119" customWidth="1"/>
    <col min="2578" max="2578" width="10.42578125" style="119" customWidth="1"/>
    <col min="2579" max="2579" width="10.7109375" style="119" customWidth="1"/>
    <col min="2580" max="2582" width="12.5703125" style="119" customWidth="1"/>
    <col min="2583" max="2583" width="9.5703125" style="119" bestFit="1" customWidth="1"/>
    <col min="2584" max="2816" width="9.140625" style="119"/>
    <col min="2817" max="2817" width="6" style="119" customWidth="1"/>
    <col min="2818" max="2818" width="52.140625" style="119" customWidth="1"/>
    <col min="2819" max="2819" width="18.85546875" style="119" customWidth="1"/>
    <col min="2820" max="2820" width="19.140625" style="119" customWidth="1"/>
    <col min="2821" max="2821" width="15.140625" style="119" customWidth="1"/>
    <col min="2822" max="2822" width="17.42578125" style="119" customWidth="1"/>
    <col min="2823" max="2823" width="15.140625" style="119" customWidth="1"/>
    <col min="2824" max="2824" width="17.28515625" style="119" customWidth="1"/>
    <col min="2825" max="2825" width="11.7109375" style="119" customWidth="1"/>
    <col min="2826" max="2826" width="11.7109375" style="119" bestFit="1" customWidth="1"/>
    <col min="2827" max="2827" width="10.140625" style="119" customWidth="1"/>
    <col min="2828" max="2828" width="11.42578125" style="119" customWidth="1"/>
    <col min="2829" max="2829" width="27.140625" style="119" customWidth="1"/>
    <col min="2830" max="2830" width="16.42578125" style="119" customWidth="1"/>
    <col min="2831" max="2831" width="13.140625" style="119" customWidth="1"/>
    <col min="2832" max="2832" width="10.7109375" style="119" customWidth="1"/>
    <col min="2833" max="2833" width="10.85546875" style="119" customWidth="1"/>
    <col min="2834" max="2834" width="10.42578125" style="119" customWidth="1"/>
    <col min="2835" max="2835" width="10.7109375" style="119" customWidth="1"/>
    <col min="2836" max="2838" width="12.5703125" style="119" customWidth="1"/>
    <col min="2839" max="2839" width="9.5703125" style="119" bestFit="1" customWidth="1"/>
    <col min="2840" max="3072" width="9.140625" style="119"/>
    <col min="3073" max="3073" width="6" style="119" customWidth="1"/>
    <col min="3074" max="3074" width="52.140625" style="119" customWidth="1"/>
    <col min="3075" max="3075" width="18.85546875" style="119" customWidth="1"/>
    <col min="3076" max="3076" width="19.140625" style="119" customWidth="1"/>
    <col min="3077" max="3077" width="15.140625" style="119" customWidth="1"/>
    <col min="3078" max="3078" width="17.42578125" style="119" customWidth="1"/>
    <col min="3079" max="3079" width="15.140625" style="119" customWidth="1"/>
    <col min="3080" max="3080" width="17.28515625" style="119" customWidth="1"/>
    <col min="3081" max="3081" width="11.7109375" style="119" customWidth="1"/>
    <col min="3082" max="3082" width="11.7109375" style="119" bestFit="1" customWidth="1"/>
    <col min="3083" max="3083" width="10.140625" style="119" customWidth="1"/>
    <col min="3084" max="3084" width="11.42578125" style="119" customWidth="1"/>
    <col min="3085" max="3085" width="27.140625" style="119" customWidth="1"/>
    <col min="3086" max="3086" width="16.42578125" style="119" customWidth="1"/>
    <col min="3087" max="3087" width="13.140625" style="119" customWidth="1"/>
    <col min="3088" max="3088" width="10.7109375" style="119" customWidth="1"/>
    <col min="3089" max="3089" width="10.85546875" style="119" customWidth="1"/>
    <col min="3090" max="3090" width="10.42578125" style="119" customWidth="1"/>
    <col min="3091" max="3091" width="10.7109375" style="119" customWidth="1"/>
    <col min="3092" max="3094" width="12.5703125" style="119" customWidth="1"/>
    <col min="3095" max="3095" width="9.5703125" style="119" bestFit="1" customWidth="1"/>
    <col min="3096" max="3328" width="9.140625" style="119"/>
    <col min="3329" max="3329" width="6" style="119" customWidth="1"/>
    <col min="3330" max="3330" width="52.140625" style="119" customWidth="1"/>
    <col min="3331" max="3331" width="18.85546875" style="119" customWidth="1"/>
    <col min="3332" max="3332" width="19.140625" style="119" customWidth="1"/>
    <col min="3333" max="3333" width="15.140625" style="119" customWidth="1"/>
    <col min="3334" max="3334" width="17.42578125" style="119" customWidth="1"/>
    <col min="3335" max="3335" width="15.140625" style="119" customWidth="1"/>
    <col min="3336" max="3336" width="17.28515625" style="119" customWidth="1"/>
    <col min="3337" max="3337" width="11.7109375" style="119" customWidth="1"/>
    <col min="3338" max="3338" width="11.7109375" style="119" bestFit="1" customWidth="1"/>
    <col min="3339" max="3339" width="10.140625" style="119" customWidth="1"/>
    <col min="3340" max="3340" width="11.42578125" style="119" customWidth="1"/>
    <col min="3341" max="3341" width="27.140625" style="119" customWidth="1"/>
    <col min="3342" max="3342" width="16.42578125" style="119" customWidth="1"/>
    <col min="3343" max="3343" width="13.140625" style="119" customWidth="1"/>
    <col min="3344" max="3344" width="10.7109375" style="119" customWidth="1"/>
    <col min="3345" max="3345" width="10.85546875" style="119" customWidth="1"/>
    <col min="3346" max="3346" width="10.42578125" style="119" customWidth="1"/>
    <col min="3347" max="3347" width="10.7109375" style="119" customWidth="1"/>
    <col min="3348" max="3350" width="12.5703125" style="119" customWidth="1"/>
    <col min="3351" max="3351" width="9.5703125" style="119" bestFit="1" customWidth="1"/>
    <col min="3352" max="3584" width="9.140625" style="119"/>
    <col min="3585" max="3585" width="6" style="119" customWidth="1"/>
    <col min="3586" max="3586" width="52.140625" style="119" customWidth="1"/>
    <col min="3587" max="3587" width="18.85546875" style="119" customWidth="1"/>
    <col min="3588" max="3588" width="19.140625" style="119" customWidth="1"/>
    <col min="3589" max="3589" width="15.140625" style="119" customWidth="1"/>
    <col min="3590" max="3590" width="17.42578125" style="119" customWidth="1"/>
    <col min="3591" max="3591" width="15.140625" style="119" customWidth="1"/>
    <col min="3592" max="3592" width="17.28515625" style="119" customWidth="1"/>
    <col min="3593" max="3593" width="11.7109375" style="119" customWidth="1"/>
    <col min="3594" max="3594" width="11.7109375" style="119" bestFit="1" customWidth="1"/>
    <col min="3595" max="3595" width="10.140625" style="119" customWidth="1"/>
    <col min="3596" max="3596" width="11.42578125" style="119" customWidth="1"/>
    <col min="3597" max="3597" width="27.140625" style="119" customWidth="1"/>
    <col min="3598" max="3598" width="16.42578125" style="119" customWidth="1"/>
    <col min="3599" max="3599" width="13.140625" style="119" customWidth="1"/>
    <col min="3600" max="3600" width="10.7109375" style="119" customWidth="1"/>
    <col min="3601" max="3601" width="10.85546875" style="119" customWidth="1"/>
    <col min="3602" max="3602" width="10.42578125" style="119" customWidth="1"/>
    <col min="3603" max="3603" width="10.7109375" style="119" customWidth="1"/>
    <col min="3604" max="3606" width="12.5703125" style="119" customWidth="1"/>
    <col min="3607" max="3607" width="9.5703125" style="119" bestFit="1" customWidth="1"/>
    <col min="3608" max="3840" width="9.140625" style="119"/>
    <col min="3841" max="3841" width="6" style="119" customWidth="1"/>
    <col min="3842" max="3842" width="52.140625" style="119" customWidth="1"/>
    <col min="3843" max="3843" width="18.85546875" style="119" customWidth="1"/>
    <col min="3844" max="3844" width="19.140625" style="119" customWidth="1"/>
    <col min="3845" max="3845" width="15.140625" style="119" customWidth="1"/>
    <col min="3846" max="3846" width="17.42578125" style="119" customWidth="1"/>
    <col min="3847" max="3847" width="15.140625" style="119" customWidth="1"/>
    <col min="3848" max="3848" width="17.28515625" style="119" customWidth="1"/>
    <col min="3849" max="3849" width="11.7109375" style="119" customWidth="1"/>
    <col min="3850" max="3850" width="11.7109375" style="119" bestFit="1" customWidth="1"/>
    <col min="3851" max="3851" width="10.140625" style="119" customWidth="1"/>
    <col min="3852" max="3852" width="11.42578125" style="119" customWidth="1"/>
    <col min="3853" max="3853" width="27.140625" style="119" customWidth="1"/>
    <col min="3854" max="3854" width="16.42578125" style="119" customWidth="1"/>
    <col min="3855" max="3855" width="13.140625" style="119" customWidth="1"/>
    <col min="3856" max="3856" width="10.7109375" style="119" customWidth="1"/>
    <col min="3857" max="3857" width="10.85546875" style="119" customWidth="1"/>
    <col min="3858" max="3858" width="10.42578125" style="119" customWidth="1"/>
    <col min="3859" max="3859" width="10.7109375" style="119" customWidth="1"/>
    <col min="3860" max="3862" width="12.5703125" style="119" customWidth="1"/>
    <col min="3863" max="3863" width="9.5703125" style="119" bestFit="1" customWidth="1"/>
    <col min="3864" max="4096" width="9.140625" style="119"/>
    <col min="4097" max="4097" width="6" style="119" customWidth="1"/>
    <col min="4098" max="4098" width="52.140625" style="119" customWidth="1"/>
    <col min="4099" max="4099" width="18.85546875" style="119" customWidth="1"/>
    <col min="4100" max="4100" width="19.140625" style="119" customWidth="1"/>
    <col min="4101" max="4101" width="15.140625" style="119" customWidth="1"/>
    <col min="4102" max="4102" width="17.42578125" style="119" customWidth="1"/>
    <col min="4103" max="4103" width="15.140625" style="119" customWidth="1"/>
    <col min="4104" max="4104" width="17.28515625" style="119" customWidth="1"/>
    <col min="4105" max="4105" width="11.7109375" style="119" customWidth="1"/>
    <col min="4106" max="4106" width="11.7109375" style="119" bestFit="1" customWidth="1"/>
    <col min="4107" max="4107" width="10.140625" style="119" customWidth="1"/>
    <col min="4108" max="4108" width="11.42578125" style="119" customWidth="1"/>
    <col min="4109" max="4109" width="27.140625" style="119" customWidth="1"/>
    <col min="4110" max="4110" width="16.42578125" style="119" customWidth="1"/>
    <col min="4111" max="4111" width="13.140625" style="119" customWidth="1"/>
    <col min="4112" max="4112" width="10.7109375" style="119" customWidth="1"/>
    <col min="4113" max="4113" width="10.85546875" style="119" customWidth="1"/>
    <col min="4114" max="4114" width="10.42578125" style="119" customWidth="1"/>
    <col min="4115" max="4115" width="10.7109375" style="119" customWidth="1"/>
    <col min="4116" max="4118" width="12.5703125" style="119" customWidth="1"/>
    <col min="4119" max="4119" width="9.5703125" style="119" bestFit="1" customWidth="1"/>
    <col min="4120" max="4352" width="9.140625" style="119"/>
    <col min="4353" max="4353" width="6" style="119" customWidth="1"/>
    <col min="4354" max="4354" width="52.140625" style="119" customWidth="1"/>
    <col min="4355" max="4355" width="18.85546875" style="119" customWidth="1"/>
    <col min="4356" max="4356" width="19.140625" style="119" customWidth="1"/>
    <col min="4357" max="4357" width="15.140625" style="119" customWidth="1"/>
    <col min="4358" max="4358" width="17.42578125" style="119" customWidth="1"/>
    <col min="4359" max="4359" width="15.140625" style="119" customWidth="1"/>
    <col min="4360" max="4360" width="17.28515625" style="119" customWidth="1"/>
    <col min="4361" max="4361" width="11.7109375" style="119" customWidth="1"/>
    <col min="4362" max="4362" width="11.7109375" style="119" bestFit="1" customWidth="1"/>
    <col min="4363" max="4363" width="10.140625" style="119" customWidth="1"/>
    <col min="4364" max="4364" width="11.42578125" style="119" customWidth="1"/>
    <col min="4365" max="4365" width="27.140625" style="119" customWidth="1"/>
    <col min="4366" max="4366" width="16.42578125" style="119" customWidth="1"/>
    <col min="4367" max="4367" width="13.140625" style="119" customWidth="1"/>
    <col min="4368" max="4368" width="10.7109375" style="119" customWidth="1"/>
    <col min="4369" max="4369" width="10.85546875" style="119" customWidth="1"/>
    <col min="4370" max="4370" width="10.42578125" style="119" customWidth="1"/>
    <col min="4371" max="4371" width="10.7109375" style="119" customWidth="1"/>
    <col min="4372" max="4374" width="12.5703125" style="119" customWidth="1"/>
    <col min="4375" max="4375" width="9.5703125" style="119" bestFit="1" customWidth="1"/>
    <col min="4376" max="4608" width="9.140625" style="119"/>
    <col min="4609" max="4609" width="6" style="119" customWidth="1"/>
    <col min="4610" max="4610" width="52.140625" style="119" customWidth="1"/>
    <col min="4611" max="4611" width="18.85546875" style="119" customWidth="1"/>
    <col min="4612" max="4612" width="19.140625" style="119" customWidth="1"/>
    <col min="4613" max="4613" width="15.140625" style="119" customWidth="1"/>
    <col min="4614" max="4614" width="17.42578125" style="119" customWidth="1"/>
    <col min="4615" max="4615" width="15.140625" style="119" customWidth="1"/>
    <col min="4616" max="4616" width="17.28515625" style="119" customWidth="1"/>
    <col min="4617" max="4617" width="11.7109375" style="119" customWidth="1"/>
    <col min="4618" max="4618" width="11.7109375" style="119" bestFit="1" customWidth="1"/>
    <col min="4619" max="4619" width="10.140625" style="119" customWidth="1"/>
    <col min="4620" max="4620" width="11.42578125" style="119" customWidth="1"/>
    <col min="4621" max="4621" width="27.140625" style="119" customWidth="1"/>
    <col min="4622" max="4622" width="16.42578125" style="119" customWidth="1"/>
    <col min="4623" max="4623" width="13.140625" style="119" customWidth="1"/>
    <col min="4624" max="4624" width="10.7109375" style="119" customWidth="1"/>
    <col min="4625" max="4625" width="10.85546875" style="119" customWidth="1"/>
    <col min="4626" max="4626" width="10.42578125" style="119" customWidth="1"/>
    <col min="4627" max="4627" width="10.7109375" style="119" customWidth="1"/>
    <col min="4628" max="4630" width="12.5703125" style="119" customWidth="1"/>
    <col min="4631" max="4631" width="9.5703125" style="119" bestFit="1" customWidth="1"/>
    <col min="4632" max="4864" width="9.140625" style="119"/>
    <col min="4865" max="4865" width="6" style="119" customWidth="1"/>
    <col min="4866" max="4866" width="52.140625" style="119" customWidth="1"/>
    <col min="4867" max="4867" width="18.85546875" style="119" customWidth="1"/>
    <col min="4868" max="4868" width="19.140625" style="119" customWidth="1"/>
    <col min="4869" max="4869" width="15.140625" style="119" customWidth="1"/>
    <col min="4870" max="4870" width="17.42578125" style="119" customWidth="1"/>
    <col min="4871" max="4871" width="15.140625" style="119" customWidth="1"/>
    <col min="4872" max="4872" width="17.28515625" style="119" customWidth="1"/>
    <col min="4873" max="4873" width="11.7109375" style="119" customWidth="1"/>
    <col min="4874" max="4874" width="11.7109375" style="119" bestFit="1" customWidth="1"/>
    <col min="4875" max="4875" width="10.140625" style="119" customWidth="1"/>
    <col min="4876" max="4876" width="11.42578125" style="119" customWidth="1"/>
    <col min="4877" max="4877" width="27.140625" style="119" customWidth="1"/>
    <col min="4878" max="4878" width="16.42578125" style="119" customWidth="1"/>
    <col min="4879" max="4879" width="13.140625" style="119" customWidth="1"/>
    <col min="4880" max="4880" width="10.7109375" style="119" customWidth="1"/>
    <col min="4881" max="4881" width="10.85546875" style="119" customWidth="1"/>
    <col min="4882" max="4882" width="10.42578125" style="119" customWidth="1"/>
    <col min="4883" max="4883" width="10.7109375" style="119" customWidth="1"/>
    <col min="4884" max="4886" width="12.5703125" style="119" customWidth="1"/>
    <col min="4887" max="4887" width="9.5703125" style="119" bestFit="1" customWidth="1"/>
    <col min="4888" max="5120" width="9.140625" style="119"/>
    <col min="5121" max="5121" width="6" style="119" customWidth="1"/>
    <col min="5122" max="5122" width="52.140625" style="119" customWidth="1"/>
    <col min="5123" max="5123" width="18.85546875" style="119" customWidth="1"/>
    <col min="5124" max="5124" width="19.140625" style="119" customWidth="1"/>
    <col min="5125" max="5125" width="15.140625" style="119" customWidth="1"/>
    <col min="5126" max="5126" width="17.42578125" style="119" customWidth="1"/>
    <col min="5127" max="5127" width="15.140625" style="119" customWidth="1"/>
    <col min="5128" max="5128" width="17.28515625" style="119" customWidth="1"/>
    <col min="5129" max="5129" width="11.7109375" style="119" customWidth="1"/>
    <col min="5130" max="5130" width="11.7109375" style="119" bestFit="1" customWidth="1"/>
    <col min="5131" max="5131" width="10.140625" style="119" customWidth="1"/>
    <col min="5132" max="5132" width="11.42578125" style="119" customWidth="1"/>
    <col min="5133" max="5133" width="27.140625" style="119" customWidth="1"/>
    <col min="5134" max="5134" width="16.42578125" style="119" customWidth="1"/>
    <col min="5135" max="5135" width="13.140625" style="119" customWidth="1"/>
    <col min="5136" max="5136" width="10.7109375" style="119" customWidth="1"/>
    <col min="5137" max="5137" width="10.85546875" style="119" customWidth="1"/>
    <col min="5138" max="5138" width="10.42578125" style="119" customWidth="1"/>
    <col min="5139" max="5139" width="10.7109375" style="119" customWidth="1"/>
    <col min="5140" max="5142" width="12.5703125" style="119" customWidth="1"/>
    <col min="5143" max="5143" width="9.5703125" style="119" bestFit="1" customWidth="1"/>
    <col min="5144" max="5376" width="9.140625" style="119"/>
    <col min="5377" max="5377" width="6" style="119" customWidth="1"/>
    <col min="5378" max="5378" width="52.140625" style="119" customWidth="1"/>
    <col min="5379" max="5379" width="18.85546875" style="119" customWidth="1"/>
    <col min="5380" max="5380" width="19.140625" style="119" customWidth="1"/>
    <col min="5381" max="5381" width="15.140625" style="119" customWidth="1"/>
    <col min="5382" max="5382" width="17.42578125" style="119" customWidth="1"/>
    <col min="5383" max="5383" width="15.140625" style="119" customWidth="1"/>
    <col min="5384" max="5384" width="17.28515625" style="119" customWidth="1"/>
    <col min="5385" max="5385" width="11.7109375" style="119" customWidth="1"/>
    <col min="5386" max="5386" width="11.7109375" style="119" bestFit="1" customWidth="1"/>
    <col min="5387" max="5387" width="10.140625" style="119" customWidth="1"/>
    <col min="5388" max="5388" width="11.42578125" style="119" customWidth="1"/>
    <col min="5389" max="5389" width="27.140625" style="119" customWidth="1"/>
    <col min="5390" max="5390" width="16.42578125" style="119" customWidth="1"/>
    <col min="5391" max="5391" width="13.140625" style="119" customWidth="1"/>
    <col min="5392" max="5392" width="10.7109375" style="119" customWidth="1"/>
    <col min="5393" max="5393" width="10.85546875" style="119" customWidth="1"/>
    <col min="5394" max="5394" width="10.42578125" style="119" customWidth="1"/>
    <col min="5395" max="5395" width="10.7109375" style="119" customWidth="1"/>
    <col min="5396" max="5398" width="12.5703125" style="119" customWidth="1"/>
    <col min="5399" max="5399" width="9.5703125" style="119" bestFit="1" customWidth="1"/>
    <col min="5400" max="5632" width="9.140625" style="119"/>
    <col min="5633" max="5633" width="6" style="119" customWidth="1"/>
    <col min="5634" max="5634" width="52.140625" style="119" customWidth="1"/>
    <col min="5635" max="5635" width="18.85546875" style="119" customWidth="1"/>
    <col min="5636" max="5636" width="19.140625" style="119" customWidth="1"/>
    <col min="5637" max="5637" width="15.140625" style="119" customWidth="1"/>
    <col min="5638" max="5638" width="17.42578125" style="119" customWidth="1"/>
    <col min="5639" max="5639" width="15.140625" style="119" customWidth="1"/>
    <col min="5640" max="5640" width="17.28515625" style="119" customWidth="1"/>
    <col min="5641" max="5641" width="11.7109375" style="119" customWidth="1"/>
    <col min="5642" max="5642" width="11.7109375" style="119" bestFit="1" customWidth="1"/>
    <col min="5643" max="5643" width="10.140625" style="119" customWidth="1"/>
    <col min="5644" max="5644" width="11.42578125" style="119" customWidth="1"/>
    <col min="5645" max="5645" width="27.140625" style="119" customWidth="1"/>
    <col min="5646" max="5646" width="16.42578125" style="119" customWidth="1"/>
    <col min="5647" max="5647" width="13.140625" style="119" customWidth="1"/>
    <col min="5648" max="5648" width="10.7109375" style="119" customWidth="1"/>
    <col min="5649" max="5649" width="10.85546875" style="119" customWidth="1"/>
    <col min="5650" max="5650" width="10.42578125" style="119" customWidth="1"/>
    <col min="5651" max="5651" width="10.7109375" style="119" customWidth="1"/>
    <col min="5652" max="5654" width="12.5703125" style="119" customWidth="1"/>
    <col min="5655" max="5655" width="9.5703125" style="119" bestFit="1" customWidth="1"/>
    <col min="5656" max="5888" width="9.140625" style="119"/>
    <col min="5889" max="5889" width="6" style="119" customWidth="1"/>
    <col min="5890" max="5890" width="52.140625" style="119" customWidth="1"/>
    <col min="5891" max="5891" width="18.85546875" style="119" customWidth="1"/>
    <col min="5892" max="5892" width="19.140625" style="119" customWidth="1"/>
    <col min="5893" max="5893" width="15.140625" style="119" customWidth="1"/>
    <col min="5894" max="5894" width="17.42578125" style="119" customWidth="1"/>
    <col min="5895" max="5895" width="15.140625" style="119" customWidth="1"/>
    <col min="5896" max="5896" width="17.28515625" style="119" customWidth="1"/>
    <col min="5897" max="5897" width="11.7109375" style="119" customWidth="1"/>
    <col min="5898" max="5898" width="11.7109375" style="119" bestFit="1" customWidth="1"/>
    <col min="5899" max="5899" width="10.140625" style="119" customWidth="1"/>
    <col min="5900" max="5900" width="11.42578125" style="119" customWidth="1"/>
    <col min="5901" max="5901" width="27.140625" style="119" customWidth="1"/>
    <col min="5902" max="5902" width="16.42578125" style="119" customWidth="1"/>
    <col min="5903" max="5903" width="13.140625" style="119" customWidth="1"/>
    <col min="5904" max="5904" width="10.7109375" style="119" customWidth="1"/>
    <col min="5905" max="5905" width="10.85546875" style="119" customWidth="1"/>
    <col min="5906" max="5906" width="10.42578125" style="119" customWidth="1"/>
    <col min="5907" max="5907" width="10.7109375" style="119" customWidth="1"/>
    <col min="5908" max="5910" width="12.5703125" style="119" customWidth="1"/>
    <col min="5911" max="5911" width="9.5703125" style="119" bestFit="1" customWidth="1"/>
    <col min="5912" max="6144" width="9.140625" style="119"/>
    <col min="6145" max="6145" width="6" style="119" customWidth="1"/>
    <col min="6146" max="6146" width="52.140625" style="119" customWidth="1"/>
    <col min="6147" max="6147" width="18.85546875" style="119" customWidth="1"/>
    <col min="6148" max="6148" width="19.140625" style="119" customWidth="1"/>
    <col min="6149" max="6149" width="15.140625" style="119" customWidth="1"/>
    <col min="6150" max="6150" width="17.42578125" style="119" customWidth="1"/>
    <col min="6151" max="6151" width="15.140625" style="119" customWidth="1"/>
    <col min="6152" max="6152" width="17.28515625" style="119" customWidth="1"/>
    <col min="6153" max="6153" width="11.7109375" style="119" customWidth="1"/>
    <col min="6154" max="6154" width="11.7109375" style="119" bestFit="1" customWidth="1"/>
    <col min="6155" max="6155" width="10.140625" style="119" customWidth="1"/>
    <col min="6156" max="6156" width="11.42578125" style="119" customWidth="1"/>
    <col min="6157" max="6157" width="27.140625" style="119" customWidth="1"/>
    <col min="6158" max="6158" width="16.42578125" style="119" customWidth="1"/>
    <col min="6159" max="6159" width="13.140625" style="119" customWidth="1"/>
    <col min="6160" max="6160" width="10.7109375" style="119" customWidth="1"/>
    <col min="6161" max="6161" width="10.85546875" style="119" customWidth="1"/>
    <col min="6162" max="6162" width="10.42578125" style="119" customWidth="1"/>
    <col min="6163" max="6163" width="10.7109375" style="119" customWidth="1"/>
    <col min="6164" max="6166" width="12.5703125" style="119" customWidth="1"/>
    <col min="6167" max="6167" width="9.5703125" style="119" bestFit="1" customWidth="1"/>
    <col min="6168" max="6400" width="9.140625" style="119"/>
    <col min="6401" max="6401" width="6" style="119" customWidth="1"/>
    <col min="6402" max="6402" width="52.140625" style="119" customWidth="1"/>
    <col min="6403" max="6403" width="18.85546875" style="119" customWidth="1"/>
    <col min="6404" max="6404" width="19.140625" style="119" customWidth="1"/>
    <col min="6405" max="6405" width="15.140625" style="119" customWidth="1"/>
    <col min="6406" max="6406" width="17.42578125" style="119" customWidth="1"/>
    <col min="6407" max="6407" width="15.140625" style="119" customWidth="1"/>
    <col min="6408" max="6408" width="17.28515625" style="119" customWidth="1"/>
    <col min="6409" max="6409" width="11.7109375" style="119" customWidth="1"/>
    <col min="6410" max="6410" width="11.7109375" style="119" bestFit="1" customWidth="1"/>
    <col min="6411" max="6411" width="10.140625" style="119" customWidth="1"/>
    <col min="6412" max="6412" width="11.42578125" style="119" customWidth="1"/>
    <col min="6413" max="6413" width="27.140625" style="119" customWidth="1"/>
    <col min="6414" max="6414" width="16.42578125" style="119" customWidth="1"/>
    <col min="6415" max="6415" width="13.140625" style="119" customWidth="1"/>
    <col min="6416" max="6416" width="10.7109375" style="119" customWidth="1"/>
    <col min="6417" max="6417" width="10.85546875" style="119" customWidth="1"/>
    <col min="6418" max="6418" width="10.42578125" style="119" customWidth="1"/>
    <col min="6419" max="6419" width="10.7109375" style="119" customWidth="1"/>
    <col min="6420" max="6422" width="12.5703125" style="119" customWidth="1"/>
    <col min="6423" max="6423" width="9.5703125" style="119" bestFit="1" customWidth="1"/>
    <col min="6424" max="6656" width="9.140625" style="119"/>
    <col min="6657" max="6657" width="6" style="119" customWidth="1"/>
    <col min="6658" max="6658" width="52.140625" style="119" customWidth="1"/>
    <col min="6659" max="6659" width="18.85546875" style="119" customWidth="1"/>
    <col min="6660" max="6660" width="19.140625" style="119" customWidth="1"/>
    <col min="6661" max="6661" width="15.140625" style="119" customWidth="1"/>
    <col min="6662" max="6662" width="17.42578125" style="119" customWidth="1"/>
    <col min="6663" max="6663" width="15.140625" style="119" customWidth="1"/>
    <col min="6664" max="6664" width="17.28515625" style="119" customWidth="1"/>
    <col min="6665" max="6665" width="11.7109375" style="119" customWidth="1"/>
    <col min="6666" max="6666" width="11.7109375" style="119" bestFit="1" customWidth="1"/>
    <col min="6667" max="6667" width="10.140625" style="119" customWidth="1"/>
    <col min="6668" max="6668" width="11.42578125" style="119" customWidth="1"/>
    <col min="6669" max="6669" width="27.140625" style="119" customWidth="1"/>
    <col min="6670" max="6670" width="16.42578125" style="119" customWidth="1"/>
    <col min="6671" max="6671" width="13.140625" style="119" customWidth="1"/>
    <col min="6672" max="6672" width="10.7109375" style="119" customWidth="1"/>
    <col min="6673" max="6673" width="10.85546875" style="119" customWidth="1"/>
    <col min="6674" max="6674" width="10.42578125" style="119" customWidth="1"/>
    <col min="6675" max="6675" width="10.7109375" style="119" customWidth="1"/>
    <col min="6676" max="6678" width="12.5703125" style="119" customWidth="1"/>
    <col min="6679" max="6679" width="9.5703125" style="119" bestFit="1" customWidth="1"/>
    <col min="6680" max="6912" width="9.140625" style="119"/>
    <col min="6913" max="6913" width="6" style="119" customWidth="1"/>
    <col min="6914" max="6914" width="52.140625" style="119" customWidth="1"/>
    <col min="6915" max="6915" width="18.85546875" style="119" customWidth="1"/>
    <col min="6916" max="6916" width="19.140625" style="119" customWidth="1"/>
    <col min="6917" max="6917" width="15.140625" style="119" customWidth="1"/>
    <col min="6918" max="6918" width="17.42578125" style="119" customWidth="1"/>
    <col min="6919" max="6919" width="15.140625" style="119" customWidth="1"/>
    <col min="6920" max="6920" width="17.28515625" style="119" customWidth="1"/>
    <col min="6921" max="6921" width="11.7109375" style="119" customWidth="1"/>
    <col min="6922" max="6922" width="11.7109375" style="119" bestFit="1" customWidth="1"/>
    <col min="6923" max="6923" width="10.140625" style="119" customWidth="1"/>
    <col min="6924" max="6924" width="11.42578125" style="119" customWidth="1"/>
    <col min="6925" max="6925" width="27.140625" style="119" customWidth="1"/>
    <col min="6926" max="6926" width="16.42578125" style="119" customWidth="1"/>
    <col min="6927" max="6927" width="13.140625" style="119" customWidth="1"/>
    <col min="6928" max="6928" width="10.7109375" style="119" customWidth="1"/>
    <col min="6929" max="6929" width="10.85546875" style="119" customWidth="1"/>
    <col min="6930" max="6930" width="10.42578125" style="119" customWidth="1"/>
    <col min="6931" max="6931" width="10.7109375" style="119" customWidth="1"/>
    <col min="6932" max="6934" width="12.5703125" style="119" customWidth="1"/>
    <col min="6935" max="6935" width="9.5703125" style="119" bestFit="1" customWidth="1"/>
    <col min="6936" max="7168" width="9.140625" style="119"/>
    <col min="7169" max="7169" width="6" style="119" customWidth="1"/>
    <col min="7170" max="7170" width="52.140625" style="119" customWidth="1"/>
    <col min="7171" max="7171" width="18.85546875" style="119" customWidth="1"/>
    <col min="7172" max="7172" width="19.140625" style="119" customWidth="1"/>
    <col min="7173" max="7173" width="15.140625" style="119" customWidth="1"/>
    <col min="7174" max="7174" width="17.42578125" style="119" customWidth="1"/>
    <col min="7175" max="7175" width="15.140625" style="119" customWidth="1"/>
    <col min="7176" max="7176" width="17.28515625" style="119" customWidth="1"/>
    <col min="7177" max="7177" width="11.7109375" style="119" customWidth="1"/>
    <col min="7178" max="7178" width="11.7109375" style="119" bestFit="1" customWidth="1"/>
    <col min="7179" max="7179" width="10.140625" style="119" customWidth="1"/>
    <col min="7180" max="7180" width="11.42578125" style="119" customWidth="1"/>
    <col min="7181" max="7181" width="27.140625" style="119" customWidth="1"/>
    <col min="7182" max="7182" width="16.42578125" style="119" customWidth="1"/>
    <col min="7183" max="7183" width="13.140625" style="119" customWidth="1"/>
    <col min="7184" max="7184" width="10.7109375" style="119" customWidth="1"/>
    <col min="7185" max="7185" width="10.85546875" style="119" customWidth="1"/>
    <col min="7186" max="7186" width="10.42578125" style="119" customWidth="1"/>
    <col min="7187" max="7187" width="10.7109375" style="119" customWidth="1"/>
    <col min="7188" max="7190" width="12.5703125" style="119" customWidth="1"/>
    <col min="7191" max="7191" width="9.5703125" style="119" bestFit="1" customWidth="1"/>
    <col min="7192" max="7424" width="9.140625" style="119"/>
    <col min="7425" max="7425" width="6" style="119" customWidth="1"/>
    <col min="7426" max="7426" width="52.140625" style="119" customWidth="1"/>
    <col min="7427" max="7427" width="18.85546875" style="119" customWidth="1"/>
    <col min="7428" max="7428" width="19.140625" style="119" customWidth="1"/>
    <col min="7429" max="7429" width="15.140625" style="119" customWidth="1"/>
    <col min="7430" max="7430" width="17.42578125" style="119" customWidth="1"/>
    <col min="7431" max="7431" width="15.140625" style="119" customWidth="1"/>
    <col min="7432" max="7432" width="17.28515625" style="119" customWidth="1"/>
    <col min="7433" max="7433" width="11.7109375" style="119" customWidth="1"/>
    <col min="7434" max="7434" width="11.7109375" style="119" bestFit="1" customWidth="1"/>
    <col min="7435" max="7435" width="10.140625" style="119" customWidth="1"/>
    <col min="7436" max="7436" width="11.42578125" style="119" customWidth="1"/>
    <col min="7437" max="7437" width="27.140625" style="119" customWidth="1"/>
    <col min="7438" max="7438" width="16.42578125" style="119" customWidth="1"/>
    <col min="7439" max="7439" width="13.140625" style="119" customWidth="1"/>
    <col min="7440" max="7440" width="10.7109375" style="119" customWidth="1"/>
    <col min="7441" max="7441" width="10.85546875" style="119" customWidth="1"/>
    <col min="7442" max="7442" width="10.42578125" style="119" customWidth="1"/>
    <col min="7443" max="7443" width="10.7109375" style="119" customWidth="1"/>
    <col min="7444" max="7446" width="12.5703125" style="119" customWidth="1"/>
    <col min="7447" max="7447" width="9.5703125" style="119" bestFit="1" customWidth="1"/>
    <col min="7448" max="7680" width="9.140625" style="119"/>
    <col min="7681" max="7681" width="6" style="119" customWidth="1"/>
    <col min="7682" max="7682" width="52.140625" style="119" customWidth="1"/>
    <col min="7683" max="7683" width="18.85546875" style="119" customWidth="1"/>
    <col min="7684" max="7684" width="19.140625" style="119" customWidth="1"/>
    <col min="7685" max="7685" width="15.140625" style="119" customWidth="1"/>
    <col min="7686" max="7686" width="17.42578125" style="119" customWidth="1"/>
    <col min="7687" max="7687" width="15.140625" style="119" customWidth="1"/>
    <col min="7688" max="7688" width="17.28515625" style="119" customWidth="1"/>
    <col min="7689" max="7689" width="11.7109375" style="119" customWidth="1"/>
    <col min="7690" max="7690" width="11.7109375" style="119" bestFit="1" customWidth="1"/>
    <col min="7691" max="7691" width="10.140625" style="119" customWidth="1"/>
    <col min="7692" max="7692" width="11.42578125" style="119" customWidth="1"/>
    <col min="7693" max="7693" width="27.140625" style="119" customWidth="1"/>
    <col min="7694" max="7694" width="16.42578125" style="119" customWidth="1"/>
    <col min="7695" max="7695" width="13.140625" style="119" customWidth="1"/>
    <col min="7696" max="7696" width="10.7109375" style="119" customWidth="1"/>
    <col min="7697" max="7697" width="10.85546875" style="119" customWidth="1"/>
    <col min="7698" max="7698" width="10.42578125" style="119" customWidth="1"/>
    <col min="7699" max="7699" width="10.7109375" style="119" customWidth="1"/>
    <col min="7700" max="7702" width="12.5703125" style="119" customWidth="1"/>
    <col min="7703" max="7703" width="9.5703125" style="119" bestFit="1" customWidth="1"/>
    <col min="7704" max="7936" width="9.140625" style="119"/>
    <col min="7937" max="7937" width="6" style="119" customWidth="1"/>
    <col min="7938" max="7938" width="52.140625" style="119" customWidth="1"/>
    <col min="7939" max="7939" width="18.85546875" style="119" customWidth="1"/>
    <col min="7940" max="7940" width="19.140625" style="119" customWidth="1"/>
    <col min="7941" max="7941" width="15.140625" style="119" customWidth="1"/>
    <col min="7942" max="7942" width="17.42578125" style="119" customWidth="1"/>
    <col min="7943" max="7943" width="15.140625" style="119" customWidth="1"/>
    <col min="7944" max="7944" width="17.28515625" style="119" customWidth="1"/>
    <col min="7945" max="7945" width="11.7109375" style="119" customWidth="1"/>
    <col min="7946" max="7946" width="11.7109375" style="119" bestFit="1" customWidth="1"/>
    <col min="7947" max="7947" width="10.140625" style="119" customWidth="1"/>
    <col min="7948" max="7948" width="11.42578125" style="119" customWidth="1"/>
    <col min="7949" max="7949" width="27.140625" style="119" customWidth="1"/>
    <col min="7950" max="7950" width="16.42578125" style="119" customWidth="1"/>
    <col min="7951" max="7951" width="13.140625" style="119" customWidth="1"/>
    <col min="7952" max="7952" width="10.7109375" style="119" customWidth="1"/>
    <col min="7953" max="7953" width="10.85546875" style="119" customWidth="1"/>
    <col min="7954" max="7954" width="10.42578125" style="119" customWidth="1"/>
    <col min="7955" max="7955" width="10.7109375" style="119" customWidth="1"/>
    <col min="7956" max="7958" width="12.5703125" style="119" customWidth="1"/>
    <col min="7959" max="7959" width="9.5703125" style="119" bestFit="1" customWidth="1"/>
    <col min="7960" max="8192" width="9.140625" style="119"/>
    <col min="8193" max="8193" width="6" style="119" customWidth="1"/>
    <col min="8194" max="8194" width="52.140625" style="119" customWidth="1"/>
    <col min="8195" max="8195" width="18.85546875" style="119" customWidth="1"/>
    <col min="8196" max="8196" width="19.140625" style="119" customWidth="1"/>
    <col min="8197" max="8197" width="15.140625" style="119" customWidth="1"/>
    <col min="8198" max="8198" width="17.42578125" style="119" customWidth="1"/>
    <col min="8199" max="8199" width="15.140625" style="119" customWidth="1"/>
    <col min="8200" max="8200" width="17.28515625" style="119" customWidth="1"/>
    <col min="8201" max="8201" width="11.7109375" style="119" customWidth="1"/>
    <col min="8202" max="8202" width="11.7109375" style="119" bestFit="1" customWidth="1"/>
    <col min="8203" max="8203" width="10.140625" style="119" customWidth="1"/>
    <col min="8204" max="8204" width="11.42578125" style="119" customWidth="1"/>
    <col min="8205" max="8205" width="27.140625" style="119" customWidth="1"/>
    <col min="8206" max="8206" width="16.42578125" style="119" customWidth="1"/>
    <col min="8207" max="8207" width="13.140625" style="119" customWidth="1"/>
    <col min="8208" max="8208" width="10.7109375" style="119" customWidth="1"/>
    <col min="8209" max="8209" width="10.85546875" style="119" customWidth="1"/>
    <col min="8210" max="8210" width="10.42578125" style="119" customWidth="1"/>
    <col min="8211" max="8211" width="10.7109375" style="119" customWidth="1"/>
    <col min="8212" max="8214" width="12.5703125" style="119" customWidth="1"/>
    <col min="8215" max="8215" width="9.5703125" style="119" bestFit="1" customWidth="1"/>
    <col min="8216" max="8448" width="9.140625" style="119"/>
    <col min="8449" max="8449" width="6" style="119" customWidth="1"/>
    <col min="8450" max="8450" width="52.140625" style="119" customWidth="1"/>
    <col min="8451" max="8451" width="18.85546875" style="119" customWidth="1"/>
    <col min="8452" max="8452" width="19.140625" style="119" customWidth="1"/>
    <col min="8453" max="8453" width="15.140625" style="119" customWidth="1"/>
    <col min="8454" max="8454" width="17.42578125" style="119" customWidth="1"/>
    <col min="8455" max="8455" width="15.140625" style="119" customWidth="1"/>
    <col min="8456" max="8456" width="17.28515625" style="119" customWidth="1"/>
    <col min="8457" max="8457" width="11.7109375" style="119" customWidth="1"/>
    <col min="8458" max="8458" width="11.7109375" style="119" bestFit="1" customWidth="1"/>
    <col min="8459" max="8459" width="10.140625" style="119" customWidth="1"/>
    <col min="8460" max="8460" width="11.42578125" style="119" customWidth="1"/>
    <col min="8461" max="8461" width="27.140625" style="119" customWidth="1"/>
    <col min="8462" max="8462" width="16.42578125" style="119" customWidth="1"/>
    <col min="8463" max="8463" width="13.140625" style="119" customWidth="1"/>
    <col min="8464" max="8464" width="10.7109375" style="119" customWidth="1"/>
    <col min="8465" max="8465" width="10.85546875" style="119" customWidth="1"/>
    <col min="8466" max="8466" width="10.42578125" style="119" customWidth="1"/>
    <col min="8467" max="8467" width="10.7109375" style="119" customWidth="1"/>
    <col min="8468" max="8470" width="12.5703125" style="119" customWidth="1"/>
    <col min="8471" max="8471" width="9.5703125" style="119" bestFit="1" customWidth="1"/>
    <col min="8472" max="8704" width="9.140625" style="119"/>
    <col min="8705" max="8705" width="6" style="119" customWidth="1"/>
    <col min="8706" max="8706" width="52.140625" style="119" customWidth="1"/>
    <col min="8707" max="8707" width="18.85546875" style="119" customWidth="1"/>
    <col min="8708" max="8708" width="19.140625" style="119" customWidth="1"/>
    <col min="8709" max="8709" width="15.140625" style="119" customWidth="1"/>
    <col min="8710" max="8710" width="17.42578125" style="119" customWidth="1"/>
    <col min="8711" max="8711" width="15.140625" style="119" customWidth="1"/>
    <col min="8712" max="8712" width="17.28515625" style="119" customWidth="1"/>
    <col min="8713" max="8713" width="11.7109375" style="119" customWidth="1"/>
    <col min="8714" max="8714" width="11.7109375" style="119" bestFit="1" customWidth="1"/>
    <col min="8715" max="8715" width="10.140625" style="119" customWidth="1"/>
    <col min="8716" max="8716" width="11.42578125" style="119" customWidth="1"/>
    <col min="8717" max="8717" width="27.140625" style="119" customWidth="1"/>
    <col min="8718" max="8718" width="16.42578125" style="119" customWidth="1"/>
    <col min="8719" max="8719" width="13.140625" style="119" customWidth="1"/>
    <col min="8720" max="8720" width="10.7109375" style="119" customWidth="1"/>
    <col min="8721" max="8721" width="10.85546875" style="119" customWidth="1"/>
    <col min="8722" max="8722" width="10.42578125" style="119" customWidth="1"/>
    <col min="8723" max="8723" width="10.7109375" style="119" customWidth="1"/>
    <col min="8724" max="8726" width="12.5703125" style="119" customWidth="1"/>
    <col min="8727" max="8727" width="9.5703125" style="119" bestFit="1" customWidth="1"/>
    <col min="8728" max="8960" width="9.140625" style="119"/>
    <col min="8961" max="8961" width="6" style="119" customWidth="1"/>
    <col min="8962" max="8962" width="52.140625" style="119" customWidth="1"/>
    <col min="8963" max="8963" width="18.85546875" style="119" customWidth="1"/>
    <col min="8964" max="8964" width="19.140625" style="119" customWidth="1"/>
    <col min="8965" max="8965" width="15.140625" style="119" customWidth="1"/>
    <col min="8966" max="8966" width="17.42578125" style="119" customWidth="1"/>
    <col min="8967" max="8967" width="15.140625" style="119" customWidth="1"/>
    <col min="8968" max="8968" width="17.28515625" style="119" customWidth="1"/>
    <col min="8969" max="8969" width="11.7109375" style="119" customWidth="1"/>
    <col min="8970" max="8970" width="11.7109375" style="119" bestFit="1" customWidth="1"/>
    <col min="8971" max="8971" width="10.140625" style="119" customWidth="1"/>
    <col min="8972" max="8972" width="11.42578125" style="119" customWidth="1"/>
    <col min="8973" max="8973" width="27.140625" style="119" customWidth="1"/>
    <col min="8974" max="8974" width="16.42578125" style="119" customWidth="1"/>
    <col min="8975" max="8975" width="13.140625" style="119" customWidth="1"/>
    <col min="8976" max="8976" width="10.7109375" style="119" customWidth="1"/>
    <col min="8977" max="8977" width="10.85546875" style="119" customWidth="1"/>
    <col min="8978" max="8978" width="10.42578125" style="119" customWidth="1"/>
    <col min="8979" max="8979" width="10.7109375" style="119" customWidth="1"/>
    <col min="8980" max="8982" width="12.5703125" style="119" customWidth="1"/>
    <col min="8983" max="8983" width="9.5703125" style="119" bestFit="1" customWidth="1"/>
    <col min="8984" max="9216" width="9.140625" style="119"/>
    <col min="9217" max="9217" width="6" style="119" customWidth="1"/>
    <col min="9218" max="9218" width="52.140625" style="119" customWidth="1"/>
    <col min="9219" max="9219" width="18.85546875" style="119" customWidth="1"/>
    <col min="9220" max="9220" width="19.140625" style="119" customWidth="1"/>
    <col min="9221" max="9221" width="15.140625" style="119" customWidth="1"/>
    <col min="9222" max="9222" width="17.42578125" style="119" customWidth="1"/>
    <col min="9223" max="9223" width="15.140625" style="119" customWidth="1"/>
    <col min="9224" max="9224" width="17.28515625" style="119" customWidth="1"/>
    <col min="9225" max="9225" width="11.7109375" style="119" customWidth="1"/>
    <col min="9226" max="9226" width="11.7109375" style="119" bestFit="1" customWidth="1"/>
    <col min="9227" max="9227" width="10.140625" style="119" customWidth="1"/>
    <col min="9228" max="9228" width="11.42578125" style="119" customWidth="1"/>
    <col min="9229" max="9229" width="27.140625" style="119" customWidth="1"/>
    <col min="9230" max="9230" width="16.42578125" style="119" customWidth="1"/>
    <col min="9231" max="9231" width="13.140625" style="119" customWidth="1"/>
    <col min="9232" max="9232" width="10.7109375" style="119" customWidth="1"/>
    <col min="9233" max="9233" width="10.85546875" style="119" customWidth="1"/>
    <col min="9234" max="9234" width="10.42578125" style="119" customWidth="1"/>
    <col min="9235" max="9235" width="10.7109375" style="119" customWidth="1"/>
    <col min="9236" max="9238" width="12.5703125" style="119" customWidth="1"/>
    <col min="9239" max="9239" width="9.5703125" style="119" bestFit="1" customWidth="1"/>
    <col min="9240" max="9472" width="9.140625" style="119"/>
    <col min="9473" max="9473" width="6" style="119" customWidth="1"/>
    <col min="9474" max="9474" width="52.140625" style="119" customWidth="1"/>
    <col min="9475" max="9475" width="18.85546875" style="119" customWidth="1"/>
    <col min="9476" max="9476" width="19.140625" style="119" customWidth="1"/>
    <col min="9477" max="9477" width="15.140625" style="119" customWidth="1"/>
    <col min="9478" max="9478" width="17.42578125" style="119" customWidth="1"/>
    <col min="9479" max="9479" width="15.140625" style="119" customWidth="1"/>
    <col min="9480" max="9480" width="17.28515625" style="119" customWidth="1"/>
    <col min="9481" max="9481" width="11.7109375" style="119" customWidth="1"/>
    <col min="9482" max="9482" width="11.7109375" style="119" bestFit="1" customWidth="1"/>
    <col min="9483" max="9483" width="10.140625" style="119" customWidth="1"/>
    <col min="9484" max="9484" width="11.42578125" style="119" customWidth="1"/>
    <col min="9485" max="9485" width="27.140625" style="119" customWidth="1"/>
    <col min="9486" max="9486" width="16.42578125" style="119" customWidth="1"/>
    <col min="9487" max="9487" width="13.140625" style="119" customWidth="1"/>
    <col min="9488" max="9488" width="10.7109375" style="119" customWidth="1"/>
    <col min="9489" max="9489" width="10.85546875" style="119" customWidth="1"/>
    <col min="9490" max="9490" width="10.42578125" style="119" customWidth="1"/>
    <col min="9491" max="9491" width="10.7109375" style="119" customWidth="1"/>
    <col min="9492" max="9494" width="12.5703125" style="119" customWidth="1"/>
    <col min="9495" max="9495" width="9.5703125" style="119" bestFit="1" customWidth="1"/>
    <col min="9496" max="9728" width="9.140625" style="119"/>
    <col min="9729" max="9729" width="6" style="119" customWidth="1"/>
    <col min="9730" max="9730" width="52.140625" style="119" customWidth="1"/>
    <col min="9731" max="9731" width="18.85546875" style="119" customWidth="1"/>
    <col min="9732" max="9732" width="19.140625" style="119" customWidth="1"/>
    <col min="9733" max="9733" width="15.140625" style="119" customWidth="1"/>
    <col min="9734" max="9734" width="17.42578125" style="119" customWidth="1"/>
    <col min="9735" max="9735" width="15.140625" style="119" customWidth="1"/>
    <col min="9736" max="9736" width="17.28515625" style="119" customWidth="1"/>
    <col min="9737" max="9737" width="11.7109375" style="119" customWidth="1"/>
    <col min="9738" max="9738" width="11.7109375" style="119" bestFit="1" customWidth="1"/>
    <col min="9739" max="9739" width="10.140625" style="119" customWidth="1"/>
    <col min="9740" max="9740" width="11.42578125" style="119" customWidth="1"/>
    <col min="9741" max="9741" width="27.140625" style="119" customWidth="1"/>
    <col min="9742" max="9742" width="16.42578125" style="119" customWidth="1"/>
    <col min="9743" max="9743" width="13.140625" style="119" customWidth="1"/>
    <col min="9744" max="9744" width="10.7109375" style="119" customWidth="1"/>
    <col min="9745" max="9745" width="10.85546875" style="119" customWidth="1"/>
    <col min="9746" max="9746" width="10.42578125" style="119" customWidth="1"/>
    <col min="9747" max="9747" width="10.7109375" style="119" customWidth="1"/>
    <col min="9748" max="9750" width="12.5703125" style="119" customWidth="1"/>
    <col min="9751" max="9751" width="9.5703125" style="119" bestFit="1" customWidth="1"/>
    <col min="9752" max="9984" width="9.140625" style="119"/>
    <col min="9985" max="9985" width="6" style="119" customWidth="1"/>
    <col min="9986" max="9986" width="52.140625" style="119" customWidth="1"/>
    <col min="9987" max="9987" width="18.85546875" style="119" customWidth="1"/>
    <col min="9988" max="9988" width="19.140625" style="119" customWidth="1"/>
    <col min="9989" max="9989" width="15.140625" style="119" customWidth="1"/>
    <col min="9990" max="9990" width="17.42578125" style="119" customWidth="1"/>
    <col min="9991" max="9991" width="15.140625" style="119" customWidth="1"/>
    <col min="9992" max="9992" width="17.28515625" style="119" customWidth="1"/>
    <col min="9993" max="9993" width="11.7109375" style="119" customWidth="1"/>
    <col min="9994" max="9994" width="11.7109375" style="119" bestFit="1" customWidth="1"/>
    <col min="9995" max="9995" width="10.140625" style="119" customWidth="1"/>
    <col min="9996" max="9996" width="11.42578125" style="119" customWidth="1"/>
    <col min="9997" max="9997" width="27.140625" style="119" customWidth="1"/>
    <col min="9998" max="9998" width="16.42578125" style="119" customWidth="1"/>
    <col min="9999" max="9999" width="13.140625" style="119" customWidth="1"/>
    <col min="10000" max="10000" width="10.7109375" style="119" customWidth="1"/>
    <col min="10001" max="10001" width="10.85546875" style="119" customWidth="1"/>
    <col min="10002" max="10002" width="10.42578125" style="119" customWidth="1"/>
    <col min="10003" max="10003" width="10.7109375" style="119" customWidth="1"/>
    <col min="10004" max="10006" width="12.5703125" style="119" customWidth="1"/>
    <col min="10007" max="10007" width="9.5703125" style="119" bestFit="1" customWidth="1"/>
    <col min="10008" max="10240" width="9.140625" style="119"/>
    <col min="10241" max="10241" width="6" style="119" customWidth="1"/>
    <col min="10242" max="10242" width="52.140625" style="119" customWidth="1"/>
    <col min="10243" max="10243" width="18.85546875" style="119" customWidth="1"/>
    <col min="10244" max="10244" width="19.140625" style="119" customWidth="1"/>
    <col min="10245" max="10245" width="15.140625" style="119" customWidth="1"/>
    <col min="10246" max="10246" width="17.42578125" style="119" customWidth="1"/>
    <col min="10247" max="10247" width="15.140625" style="119" customWidth="1"/>
    <col min="10248" max="10248" width="17.28515625" style="119" customWidth="1"/>
    <col min="10249" max="10249" width="11.7109375" style="119" customWidth="1"/>
    <col min="10250" max="10250" width="11.7109375" style="119" bestFit="1" customWidth="1"/>
    <col min="10251" max="10251" width="10.140625" style="119" customWidth="1"/>
    <col min="10252" max="10252" width="11.42578125" style="119" customWidth="1"/>
    <col min="10253" max="10253" width="27.140625" style="119" customWidth="1"/>
    <col min="10254" max="10254" width="16.42578125" style="119" customWidth="1"/>
    <col min="10255" max="10255" width="13.140625" style="119" customWidth="1"/>
    <col min="10256" max="10256" width="10.7109375" style="119" customWidth="1"/>
    <col min="10257" max="10257" width="10.85546875" style="119" customWidth="1"/>
    <col min="10258" max="10258" width="10.42578125" style="119" customWidth="1"/>
    <col min="10259" max="10259" width="10.7109375" style="119" customWidth="1"/>
    <col min="10260" max="10262" width="12.5703125" style="119" customWidth="1"/>
    <col min="10263" max="10263" width="9.5703125" style="119" bestFit="1" customWidth="1"/>
    <col min="10264" max="10496" width="9.140625" style="119"/>
    <col min="10497" max="10497" width="6" style="119" customWidth="1"/>
    <col min="10498" max="10498" width="52.140625" style="119" customWidth="1"/>
    <col min="10499" max="10499" width="18.85546875" style="119" customWidth="1"/>
    <col min="10500" max="10500" width="19.140625" style="119" customWidth="1"/>
    <col min="10501" max="10501" width="15.140625" style="119" customWidth="1"/>
    <col min="10502" max="10502" width="17.42578125" style="119" customWidth="1"/>
    <col min="10503" max="10503" width="15.140625" style="119" customWidth="1"/>
    <col min="10504" max="10504" width="17.28515625" style="119" customWidth="1"/>
    <col min="10505" max="10505" width="11.7109375" style="119" customWidth="1"/>
    <col min="10506" max="10506" width="11.7109375" style="119" bestFit="1" customWidth="1"/>
    <col min="10507" max="10507" width="10.140625" style="119" customWidth="1"/>
    <col min="10508" max="10508" width="11.42578125" style="119" customWidth="1"/>
    <col min="10509" max="10509" width="27.140625" style="119" customWidth="1"/>
    <col min="10510" max="10510" width="16.42578125" style="119" customWidth="1"/>
    <col min="10511" max="10511" width="13.140625" style="119" customWidth="1"/>
    <col min="10512" max="10512" width="10.7109375" style="119" customWidth="1"/>
    <col min="10513" max="10513" width="10.85546875" style="119" customWidth="1"/>
    <col min="10514" max="10514" width="10.42578125" style="119" customWidth="1"/>
    <col min="10515" max="10515" width="10.7109375" style="119" customWidth="1"/>
    <col min="10516" max="10518" width="12.5703125" style="119" customWidth="1"/>
    <col min="10519" max="10519" width="9.5703125" style="119" bestFit="1" customWidth="1"/>
    <col min="10520" max="10752" width="9.140625" style="119"/>
    <col min="10753" max="10753" width="6" style="119" customWidth="1"/>
    <col min="10754" max="10754" width="52.140625" style="119" customWidth="1"/>
    <col min="10755" max="10755" width="18.85546875" style="119" customWidth="1"/>
    <col min="10756" max="10756" width="19.140625" style="119" customWidth="1"/>
    <col min="10757" max="10757" width="15.140625" style="119" customWidth="1"/>
    <col min="10758" max="10758" width="17.42578125" style="119" customWidth="1"/>
    <col min="10759" max="10759" width="15.140625" style="119" customWidth="1"/>
    <col min="10760" max="10760" width="17.28515625" style="119" customWidth="1"/>
    <col min="10761" max="10761" width="11.7109375" style="119" customWidth="1"/>
    <col min="10762" max="10762" width="11.7109375" style="119" bestFit="1" customWidth="1"/>
    <col min="10763" max="10763" width="10.140625" style="119" customWidth="1"/>
    <col min="10764" max="10764" width="11.42578125" style="119" customWidth="1"/>
    <col min="10765" max="10765" width="27.140625" style="119" customWidth="1"/>
    <col min="10766" max="10766" width="16.42578125" style="119" customWidth="1"/>
    <col min="10767" max="10767" width="13.140625" style="119" customWidth="1"/>
    <col min="10768" max="10768" width="10.7109375" style="119" customWidth="1"/>
    <col min="10769" max="10769" width="10.85546875" style="119" customWidth="1"/>
    <col min="10770" max="10770" width="10.42578125" style="119" customWidth="1"/>
    <col min="10771" max="10771" width="10.7109375" style="119" customWidth="1"/>
    <col min="10772" max="10774" width="12.5703125" style="119" customWidth="1"/>
    <col min="10775" max="10775" width="9.5703125" style="119" bestFit="1" customWidth="1"/>
    <col min="10776" max="11008" width="9.140625" style="119"/>
    <col min="11009" max="11009" width="6" style="119" customWidth="1"/>
    <col min="11010" max="11010" width="52.140625" style="119" customWidth="1"/>
    <col min="11011" max="11011" width="18.85546875" style="119" customWidth="1"/>
    <col min="11012" max="11012" width="19.140625" style="119" customWidth="1"/>
    <col min="11013" max="11013" width="15.140625" style="119" customWidth="1"/>
    <col min="11014" max="11014" width="17.42578125" style="119" customWidth="1"/>
    <col min="11015" max="11015" width="15.140625" style="119" customWidth="1"/>
    <col min="11016" max="11016" width="17.28515625" style="119" customWidth="1"/>
    <col min="11017" max="11017" width="11.7109375" style="119" customWidth="1"/>
    <col min="11018" max="11018" width="11.7109375" style="119" bestFit="1" customWidth="1"/>
    <col min="11019" max="11019" width="10.140625" style="119" customWidth="1"/>
    <col min="11020" max="11020" width="11.42578125" style="119" customWidth="1"/>
    <col min="11021" max="11021" width="27.140625" style="119" customWidth="1"/>
    <col min="11022" max="11022" width="16.42578125" style="119" customWidth="1"/>
    <col min="11023" max="11023" width="13.140625" style="119" customWidth="1"/>
    <col min="11024" max="11024" width="10.7109375" style="119" customWidth="1"/>
    <col min="11025" max="11025" width="10.85546875" style="119" customWidth="1"/>
    <col min="11026" max="11026" width="10.42578125" style="119" customWidth="1"/>
    <col min="11027" max="11027" width="10.7109375" style="119" customWidth="1"/>
    <col min="11028" max="11030" width="12.5703125" style="119" customWidth="1"/>
    <col min="11031" max="11031" width="9.5703125" style="119" bestFit="1" customWidth="1"/>
    <col min="11032" max="11264" width="9.140625" style="119"/>
    <col min="11265" max="11265" width="6" style="119" customWidth="1"/>
    <col min="11266" max="11266" width="52.140625" style="119" customWidth="1"/>
    <col min="11267" max="11267" width="18.85546875" style="119" customWidth="1"/>
    <col min="11268" max="11268" width="19.140625" style="119" customWidth="1"/>
    <col min="11269" max="11269" width="15.140625" style="119" customWidth="1"/>
    <col min="11270" max="11270" width="17.42578125" style="119" customWidth="1"/>
    <col min="11271" max="11271" width="15.140625" style="119" customWidth="1"/>
    <col min="11272" max="11272" width="17.28515625" style="119" customWidth="1"/>
    <col min="11273" max="11273" width="11.7109375" style="119" customWidth="1"/>
    <col min="11274" max="11274" width="11.7109375" style="119" bestFit="1" customWidth="1"/>
    <col min="11275" max="11275" width="10.140625" style="119" customWidth="1"/>
    <col min="11276" max="11276" width="11.42578125" style="119" customWidth="1"/>
    <col min="11277" max="11277" width="27.140625" style="119" customWidth="1"/>
    <col min="11278" max="11278" width="16.42578125" style="119" customWidth="1"/>
    <col min="11279" max="11279" width="13.140625" style="119" customWidth="1"/>
    <col min="11280" max="11280" width="10.7109375" style="119" customWidth="1"/>
    <col min="11281" max="11281" width="10.85546875" style="119" customWidth="1"/>
    <col min="11282" max="11282" width="10.42578125" style="119" customWidth="1"/>
    <col min="11283" max="11283" width="10.7109375" style="119" customWidth="1"/>
    <col min="11284" max="11286" width="12.5703125" style="119" customWidth="1"/>
    <col min="11287" max="11287" width="9.5703125" style="119" bestFit="1" customWidth="1"/>
    <col min="11288" max="11520" width="9.140625" style="119"/>
    <col min="11521" max="11521" width="6" style="119" customWidth="1"/>
    <col min="11522" max="11522" width="52.140625" style="119" customWidth="1"/>
    <col min="11523" max="11523" width="18.85546875" style="119" customWidth="1"/>
    <col min="11524" max="11524" width="19.140625" style="119" customWidth="1"/>
    <col min="11525" max="11525" width="15.140625" style="119" customWidth="1"/>
    <col min="11526" max="11526" width="17.42578125" style="119" customWidth="1"/>
    <col min="11527" max="11527" width="15.140625" style="119" customWidth="1"/>
    <col min="11528" max="11528" width="17.28515625" style="119" customWidth="1"/>
    <col min="11529" max="11529" width="11.7109375" style="119" customWidth="1"/>
    <col min="11530" max="11530" width="11.7109375" style="119" bestFit="1" customWidth="1"/>
    <col min="11531" max="11531" width="10.140625" style="119" customWidth="1"/>
    <col min="11532" max="11532" width="11.42578125" style="119" customWidth="1"/>
    <col min="11533" max="11533" width="27.140625" style="119" customWidth="1"/>
    <col min="11534" max="11534" width="16.42578125" style="119" customWidth="1"/>
    <col min="11535" max="11535" width="13.140625" style="119" customWidth="1"/>
    <col min="11536" max="11536" width="10.7109375" style="119" customWidth="1"/>
    <col min="11537" max="11537" width="10.85546875" style="119" customWidth="1"/>
    <col min="11538" max="11538" width="10.42578125" style="119" customWidth="1"/>
    <col min="11539" max="11539" width="10.7109375" style="119" customWidth="1"/>
    <col min="11540" max="11542" width="12.5703125" style="119" customWidth="1"/>
    <col min="11543" max="11543" width="9.5703125" style="119" bestFit="1" customWidth="1"/>
    <col min="11544" max="11776" width="9.140625" style="119"/>
    <col min="11777" max="11777" width="6" style="119" customWidth="1"/>
    <col min="11778" max="11778" width="52.140625" style="119" customWidth="1"/>
    <col min="11779" max="11779" width="18.85546875" style="119" customWidth="1"/>
    <col min="11780" max="11780" width="19.140625" style="119" customWidth="1"/>
    <col min="11781" max="11781" width="15.140625" style="119" customWidth="1"/>
    <col min="11782" max="11782" width="17.42578125" style="119" customWidth="1"/>
    <col min="11783" max="11783" width="15.140625" style="119" customWidth="1"/>
    <col min="11784" max="11784" width="17.28515625" style="119" customWidth="1"/>
    <col min="11785" max="11785" width="11.7109375" style="119" customWidth="1"/>
    <col min="11786" max="11786" width="11.7109375" style="119" bestFit="1" customWidth="1"/>
    <col min="11787" max="11787" width="10.140625" style="119" customWidth="1"/>
    <col min="11788" max="11788" width="11.42578125" style="119" customWidth="1"/>
    <col min="11789" max="11789" width="27.140625" style="119" customWidth="1"/>
    <col min="11790" max="11790" width="16.42578125" style="119" customWidth="1"/>
    <col min="11791" max="11791" width="13.140625" style="119" customWidth="1"/>
    <col min="11792" max="11792" width="10.7109375" style="119" customWidth="1"/>
    <col min="11793" max="11793" width="10.85546875" style="119" customWidth="1"/>
    <col min="11794" max="11794" width="10.42578125" style="119" customWidth="1"/>
    <col min="11795" max="11795" width="10.7109375" style="119" customWidth="1"/>
    <col min="11796" max="11798" width="12.5703125" style="119" customWidth="1"/>
    <col min="11799" max="11799" width="9.5703125" style="119" bestFit="1" customWidth="1"/>
    <col min="11800" max="12032" width="9.140625" style="119"/>
    <col min="12033" max="12033" width="6" style="119" customWidth="1"/>
    <col min="12034" max="12034" width="52.140625" style="119" customWidth="1"/>
    <col min="12035" max="12035" width="18.85546875" style="119" customWidth="1"/>
    <col min="12036" max="12036" width="19.140625" style="119" customWidth="1"/>
    <col min="12037" max="12037" width="15.140625" style="119" customWidth="1"/>
    <col min="12038" max="12038" width="17.42578125" style="119" customWidth="1"/>
    <col min="12039" max="12039" width="15.140625" style="119" customWidth="1"/>
    <col min="12040" max="12040" width="17.28515625" style="119" customWidth="1"/>
    <col min="12041" max="12041" width="11.7109375" style="119" customWidth="1"/>
    <col min="12042" max="12042" width="11.7109375" style="119" bestFit="1" customWidth="1"/>
    <col min="12043" max="12043" width="10.140625" style="119" customWidth="1"/>
    <col min="12044" max="12044" width="11.42578125" style="119" customWidth="1"/>
    <col min="12045" max="12045" width="27.140625" style="119" customWidth="1"/>
    <col min="12046" max="12046" width="16.42578125" style="119" customWidth="1"/>
    <col min="12047" max="12047" width="13.140625" style="119" customWidth="1"/>
    <col min="12048" max="12048" width="10.7109375" style="119" customWidth="1"/>
    <col min="12049" max="12049" width="10.85546875" style="119" customWidth="1"/>
    <col min="12050" max="12050" width="10.42578125" style="119" customWidth="1"/>
    <col min="12051" max="12051" width="10.7109375" style="119" customWidth="1"/>
    <col min="12052" max="12054" width="12.5703125" style="119" customWidth="1"/>
    <col min="12055" max="12055" width="9.5703125" style="119" bestFit="1" customWidth="1"/>
    <col min="12056" max="12288" width="9.140625" style="119"/>
    <col min="12289" max="12289" width="6" style="119" customWidth="1"/>
    <col min="12290" max="12290" width="52.140625" style="119" customWidth="1"/>
    <col min="12291" max="12291" width="18.85546875" style="119" customWidth="1"/>
    <col min="12292" max="12292" width="19.140625" style="119" customWidth="1"/>
    <col min="12293" max="12293" width="15.140625" style="119" customWidth="1"/>
    <col min="12294" max="12294" width="17.42578125" style="119" customWidth="1"/>
    <col min="12295" max="12295" width="15.140625" style="119" customWidth="1"/>
    <col min="12296" max="12296" width="17.28515625" style="119" customWidth="1"/>
    <col min="12297" max="12297" width="11.7109375" style="119" customWidth="1"/>
    <col min="12298" max="12298" width="11.7109375" style="119" bestFit="1" customWidth="1"/>
    <col min="12299" max="12299" width="10.140625" style="119" customWidth="1"/>
    <col min="12300" max="12300" width="11.42578125" style="119" customWidth="1"/>
    <col min="12301" max="12301" width="27.140625" style="119" customWidth="1"/>
    <col min="12302" max="12302" width="16.42578125" style="119" customWidth="1"/>
    <col min="12303" max="12303" width="13.140625" style="119" customWidth="1"/>
    <col min="12304" max="12304" width="10.7109375" style="119" customWidth="1"/>
    <col min="12305" max="12305" width="10.85546875" style="119" customWidth="1"/>
    <col min="12306" max="12306" width="10.42578125" style="119" customWidth="1"/>
    <col min="12307" max="12307" width="10.7109375" style="119" customWidth="1"/>
    <col min="12308" max="12310" width="12.5703125" style="119" customWidth="1"/>
    <col min="12311" max="12311" width="9.5703125" style="119" bestFit="1" customWidth="1"/>
    <col min="12312" max="12544" width="9.140625" style="119"/>
    <col min="12545" max="12545" width="6" style="119" customWidth="1"/>
    <col min="12546" max="12546" width="52.140625" style="119" customWidth="1"/>
    <col min="12547" max="12547" width="18.85546875" style="119" customWidth="1"/>
    <col min="12548" max="12548" width="19.140625" style="119" customWidth="1"/>
    <col min="12549" max="12549" width="15.140625" style="119" customWidth="1"/>
    <col min="12550" max="12550" width="17.42578125" style="119" customWidth="1"/>
    <col min="12551" max="12551" width="15.140625" style="119" customWidth="1"/>
    <col min="12552" max="12552" width="17.28515625" style="119" customWidth="1"/>
    <col min="12553" max="12553" width="11.7109375" style="119" customWidth="1"/>
    <col min="12554" max="12554" width="11.7109375" style="119" bestFit="1" customWidth="1"/>
    <col min="12555" max="12555" width="10.140625" style="119" customWidth="1"/>
    <col min="12556" max="12556" width="11.42578125" style="119" customWidth="1"/>
    <col min="12557" max="12557" width="27.140625" style="119" customWidth="1"/>
    <col min="12558" max="12558" width="16.42578125" style="119" customWidth="1"/>
    <col min="12559" max="12559" width="13.140625" style="119" customWidth="1"/>
    <col min="12560" max="12560" width="10.7109375" style="119" customWidth="1"/>
    <col min="12561" max="12561" width="10.85546875" style="119" customWidth="1"/>
    <col min="12562" max="12562" width="10.42578125" style="119" customWidth="1"/>
    <col min="12563" max="12563" width="10.7109375" style="119" customWidth="1"/>
    <col min="12564" max="12566" width="12.5703125" style="119" customWidth="1"/>
    <col min="12567" max="12567" width="9.5703125" style="119" bestFit="1" customWidth="1"/>
    <col min="12568" max="12800" width="9.140625" style="119"/>
    <col min="12801" max="12801" width="6" style="119" customWidth="1"/>
    <col min="12802" max="12802" width="52.140625" style="119" customWidth="1"/>
    <col min="12803" max="12803" width="18.85546875" style="119" customWidth="1"/>
    <col min="12804" max="12804" width="19.140625" style="119" customWidth="1"/>
    <col min="12805" max="12805" width="15.140625" style="119" customWidth="1"/>
    <col min="12806" max="12806" width="17.42578125" style="119" customWidth="1"/>
    <col min="12807" max="12807" width="15.140625" style="119" customWidth="1"/>
    <col min="12808" max="12808" width="17.28515625" style="119" customWidth="1"/>
    <col min="12809" max="12809" width="11.7109375" style="119" customWidth="1"/>
    <col min="12810" max="12810" width="11.7109375" style="119" bestFit="1" customWidth="1"/>
    <col min="12811" max="12811" width="10.140625" style="119" customWidth="1"/>
    <col min="12812" max="12812" width="11.42578125" style="119" customWidth="1"/>
    <col min="12813" max="12813" width="27.140625" style="119" customWidth="1"/>
    <col min="12814" max="12814" width="16.42578125" style="119" customWidth="1"/>
    <col min="12815" max="12815" width="13.140625" style="119" customWidth="1"/>
    <col min="12816" max="12816" width="10.7109375" style="119" customWidth="1"/>
    <col min="12817" max="12817" width="10.85546875" style="119" customWidth="1"/>
    <col min="12818" max="12818" width="10.42578125" style="119" customWidth="1"/>
    <col min="12819" max="12819" width="10.7109375" style="119" customWidth="1"/>
    <col min="12820" max="12822" width="12.5703125" style="119" customWidth="1"/>
    <col min="12823" max="12823" width="9.5703125" style="119" bestFit="1" customWidth="1"/>
    <col min="12824" max="13056" width="9.140625" style="119"/>
    <col min="13057" max="13057" width="6" style="119" customWidth="1"/>
    <col min="13058" max="13058" width="52.140625" style="119" customWidth="1"/>
    <col min="13059" max="13059" width="18.85546875" style="119" customWidth="1"/>
    <col min="13060" max="13060" width="19.140625" style="119" customWidth="1"/>
    <col min="13061" max="13061" width="15.140625" style="119" customWidth="1"/>
    <col min="13062" max="13062" width="17.42578125" style="119" customWidth="1"/>
    <col min="13063" max="13063" width="15.140625" style="119" customWidth="1"/>
    <col min="13064" max="13064" width="17.28515625" style="119" customWidth="1"/>
    <col min="13065" max="13065" width="11.7109375" style="119" customWidth="1"/>
    <col min="13066" max="13066" width="11.7109375" style="119" bestFit="1" customWidth="1"/>
    <col min="13067" max="13067" width="10.140625" style="119" customWidth="1"/>
    <col min="13068" max="13068" width="11.42578125" style="119" customWidth="1"/>
    <col min="13069" max="13069" width="27.140625" style="119" customWidth="1"/>
    <col min="13070" max="13070" width="16.42578125" style="119" customWidth="1"/>
    <col min="13071" max="13071" width="13.140625" style="119" customWidth="1"/>
    <col min="13072" max="13072" width="10.7109375" style="119" customWidth="1"/>
    <col min="13073" max="13073" width="10.85546875" style="119" customWidth="1"/>
    <col min="13074" max="13074" width="10.42578125" style="119" customWidth="1"/>
    <col min="13075" max="13075" width="10.7109375" style="119" customWidth="1"/>
    <col min="13076" max="13078" width="12.5703125" style="119" customWidth="1"/>
    <col min="13079" max="13079" width="9.5703125" style="119" bestFit="1" customWidth="1"/>
    <col min="13080" max="13312" width="9.140625" style="119"/>
    <col min="13313" max="13313" width="6" style="119" customWidth="1"/>
    <col min="13314" max="13314" width="52.140625" style="119" customWidth="1"/>
    <col min="13315" max="13315" width="18.85546875" style="119" customWidth="1"/>
    <col min="13316" max="13316" width="19.140625" style="119" customWidth="1"/>
    <col min="13317" max="13317" width="15.140625" style="119" customWidth="1"/>
    <col min="13318" max="13318" width="17.42578125" style="119" customWidth="1"/>
    <col min="13319" max="13319" width="15.140625" style="119" customWidth="1"/>
    <col min="13320" max="13320" width="17.28515625" style="119" customWidth="1"/>
    <col min="13321" max="13321" width="11.7109375" style="119" customWidth="1"/>
    <col min="13322" max="13322" width="11.7109375" style="119" bestFit="1" customWidth="1"/>
    <col min="13323" max="13323" width="10.140625" style="119" customWidth="1"/>
    <col min="13324" max="13324" width="11.42578125" style="119" customWidth="1"/>
    <col min="13325" max="13325" width="27.140625" style="119" customWidth="1"/>
    <col min="13326" max="13326" width="16.42578125" style="119" customWidth="1"/>
    <col min="13327" max="13327" width="13.140625" style="119" customWidth="1"/>
    <col min="13328" max="13328" width="10.7109375" style="119" customWidth="1"/>
    <col min="13329" max="13329" width="10.85546875" style="119" customWidth="1"/>
    <col min="13330" max="13330" width="10.42578125" style="119" customWidth="1"/>
    <col min="13331" max="13331" width="10.7109375" style="119" customWidth="1"/>
    <col min="13332" max="13334" width="12.5703125" style="119" customWidth="1"/>
    <col min="13335" max="13335" width="9.5703125" style="119" bestFit="1" customWidth="1"/>
    <col min="13336" max="13568" width="9.140625" style="119"/>
    <col min="13569" max="13569" width="6" style="119" customWidth="1"/>
    <col min="13570" max="13570" width="52.140625" style="119" customWidth="1"/>
    <col min="13571" max="13571" width="18.85546875" style="119" customWidth="1"/>
    <col min="13572" max="13572" width="19.140625" style="119" customWidth="1"/>
    <col min="13573" max="13573" width="15.140625" style="119" customWidth="1"/>
    <col min="13574" max="13574" width="17.42578125" style="119" customWidth="1"/>
    <col min="13575" max="13575" width="15.140625" style="119" customWidth="1"/>
    <col min="13576" max="13576" width="17.28515625" style="119" customWidth="1"/>
    <col min="13577" max="13577" width="11.7109375" style="119" customWidth="1"/>
    <col min="13578" max="13578" width="11.7109375" style="119" bestFit="1" customWidth="1"/>
    <col min="13579" max="13579" width="10.140625" style="119" customWidth="1"/>
    <col min="13580" max="13580" width="11.42578125" style="119" customWidth="1"/>
    <col min="13581" max="13581" width="27.140625" style="119" customWidth="1"/>
    <col min="13582" max="13582" width="16.42578125" style="119" customWidth="1"/>
    <col min="13583" max="13583" width="13.140625" style="119" customWidth="1"/>
    <col min="13584" max="13584" width="10.7109375" style="119" customWidth="1"/>
    <col min="13585" max="13585" width="10.85546875" style="119" customWidth="1"/>
    <col min="13586" max="13586" width="10.42578125" style="119" customWidth="1"/>
    <col min="13587" max="13587" width="10.7109375" style="119" customWidth="1"/>
    <col min="13588" max="13590" width="12.5703125" style="119" customWidth="1"/>
    <col min="13591" max="13591" width="9.5703125" style="119" bestFit="1" customWidth="1"/>
    <col min="13592" max="13824" width="9.140625" style="119"/>
    <col min="13825" max="13825" width="6" style="119" customWidth="1"/>
    <col min="13826" max="13826" width="52.140625" style="119" customWidth="1"/>
    <col min="13827" max="13827" width="18.85546875" style="119" customWidth="1"/>
    <col min="13828" max="13828" width="19.140625" style="119" customWidth="1"/>
    <col min="13829" max="13829" width="15.140625" style="119" customWidth="1"/>
    <col min="13830" max="13830" width="17.42578125" style="119" customWidth="1"/>
    <col min="13831" max="13831" width="15.140625" style="119" customWidth="1"/>
    <col min="13832" max="13832" width="17.28515625" style="119" customWidth="1"/>
    <col min="13833" max="13833" width="11.7109375" style="119" customWidth="1"/>
    <col min="13834" max="13834" width="11.7109375" style="119" bestFit="1" customWidth="1"/>
    <col min="13835" max="13835" width="10.140625" style="119" customWidth="1"/>
    <col min="13836" max="13836" width="11.42578125" style="119" customWidth="1"/>
    <col min="13837" max="13837" width="27.140625" style="119" customWidth="1"/>
    <col min="13838" max="13838" width="16.42578125" style="119" customWidth="1"/>
    <col min="13839" max="13839" width="13.140625" style="119" customWidth="1"/>
    <col min="13840" max="13840" width="10.7109375" style="119" customWidth="1"/>
    <col min="13841" max="13841" width="10.85546875" style="119" customWidth="1"/>
    <col min="13842" max="13842" width="10.42578125" style="119" customWidth="1"/>
    <col min="13843" max="13843" width="10.7109375" style="119" customWidth="1"/>
    <col min="13844" max="13846" width="12.5703125" style="119" customWidth="1"/>
    <col min="13847" max="13847" width="9.5703125" style="119" bestFit="1" customWidth="1"/>
    <col min="13848" max="14080" width="9.140625" style="119"/>
    <col min="14081" max="14081" width="6" style="119" customWidth="1"/>
    <col min="14082" max="14082" width="52.140625" style="119" customWidth="1"/>
    <col min="14083" max="14083" width="18.85546875" style="119" customWidth="1"/>
    <col min="14084" max="14084" width="19.140625" style="119" customWidth="1"/>
    <col min="14085" max="14085" width="15.140625" style="119" customWidth="1"/>
    <col min="14086" max="14086" width="17.42578125" style="119" customWidth="1"/>
    <col min="14087" max="14087" width="15.140625" style="119" customWidth="1"/>
    <col min="14088" max="14088" width="17.28515625" style="119" customWidth="1"/>
    <col min="14089" max="14089" width="11.7109375" style="119" customWidth="1"/>
    <col min="14090" max="14090" width="11.7109375" style="119" bestFit="1" customWidth="1"/>
    <col min="14091" max="14091" width="10.140625" style="119" customWidth="1"/>
    <col min="14092" max="14092" width="11.42578125" style="119" customWidth="1"/>
    <col min="14093" max="14093" width="27.140625" style="119" customWidth="1"/>
    <col min="14094" max="14094" width="16.42578125" style="119" customWidth="1"/>
    <col min="14095" max="14095" width="13.140625" style="119" customWidth="1"/>
    <col min="14096" max="14096" width="10.7109375" style="119" customWidth="1"/>
    <col min="14097" max="14097" width="10.85546875" style="119" customWidth="1"/>
    <col min="14098" max="14098" width="10.42578125" style="119" customWidth="1"/>
    <col min="14099" max="14099" width="10.7109375" style="119" customWidth="1"/>
    <col min="14100" max="14102" width="12.5703125" style="119" customWidth="1"/>
    <col min="14103" max="14103" width="9.5703125" style="119" bestFit="1" customWidth="1"/>
    <col min="14104" max="14336" width="9.140625" style="119"/>
    <col min="14337" max="14337" width="6" style="119" customWidth="1"/>
    <col min="14338" max="14338" width="52.140625" style="119" customWidth="1"/>
    <col min="14339" max="14339" width="18.85546875" style="119" customWidth="1"/>
    <col min="14340" max="14340" width="19.140625" style="119" customWidth="1"/>
    <col min="14341" max="14341" width="15.140625" style="119" customWidth="1"/>
    <col min="14342" max="14342" width="17.42578125" style="119" customWidth="1"/>
    <col min="14343" max="14343" width="15.140625" style="119" customWidth="1"/>
    <col min="14344" max="14344" width="17.28515625" style="119" customWidth="1"/>
    <col min="14345" max="14345" width="11.7109375" style="119" customWidth="1"/>
    <col min="14346" max="14346" width="11.7109375" style="119" bestFit="1" customWidth="1"/>
    <col min="14347" max="14347" width="10.140625" style="119" customWidth="1"/>
    <col min="14348" max="14348" width="11.42578125" style="119" customWidth="1"/>
    <col min="14349" max="14349" width="27.140625" style="119" customWidth="1"/>
    <col min="14350" max="14350" width="16.42578125" style="119" customWidth="1"/>
    <col min="14351" max="14351" width="13.140625" style="119" customWidth="1"/>
    <col min="14352" max="14352" width="10.7109375" style="119" customWidth="1"/>
    <col min="14353" max="14353" width="10.85546875" style="119" customWidth="1"/>
    <col min="14354" max="14354" width="10.42578125" style="119" customWidth="1"/>
    <col min="14355" max="14355" width="10.7109375" style="119" customWidth="1"/>
    <col min="14356" max="14358" width="12.5703125" style="119" customWidth="1"/>
    <col min="14359" max="14359" width="9.5703125" style="119" bestFit="1" customWidth="1"/>
    <col min="14360" max="14592" width="9.140625" style="119"/>
    <col min="14593" max="14593" width="6" style="119" customWidth="1"/>
    <col min="14594" max="14594" width="52.140625" style="119" customWidth="1"/>
    <col min="14595" max="14595" width="18.85546875" style="119" customWidth="1"/>
    <col min="14596" max="14596" width="19.140625" style="119" customWidth="1"/>
    <col min="14597" max="14597" width="15.140625" style="119" customWidth="1"/>
    <col min="14598" max="14598" width="17.42578125" style="119" customWidth="1"/>
    <col min="14599" max="14599" width="15.140625" style="119" customWidth="1"/>
    <col min="14600" max="14600" width="17.28515625" style="119" customWidth="1"/>
    <col min="14601" max="14601" width="11.7109375" style="119" customWidth="1"/>
    <col min="14602" max="14602" width="11.7109375" style="119" bestFit="1" customWidth="1"/>
    <col min="14603" max="14603" width="10.140625" style="119" customWidth="1"/>
    <col min="14604" max="14604" width="11.42578125" style="119" customWidth="1"/>
    <col min="14605" max="14605" width="27.140625" style="119" customWidth="1"/>
    <col min="14606" max="14606" width="16.42578125" style="119" customWidth="1"/>
    <col min="14607" max="14607" width="13.140625" style="119" customWidth="1"/>
    <col min="14608" max="14608" width="10.7109375" style="119" customWidth="1"/>
    <col min="14609" max="14609" width="10.85546875" style="119" customWidth="1"/>
    <col min="14610" max="14610" width="10.42578125" style="119" customWidth="1"/>
    <col min="14611" max="14611" width="10.7109375" style="119" customWidth="1"/>
    <col min="14612" max="14614" width="12.5703125" style="119" customWidth="1"/>
    <col min="14615" max="14615" width="9.5703125" style="119" bestFit="1" customWidth="1"/>
    <col min="14616" max="14848" width="9.140625" style="119"/>
    <col min="14849" max="14849" width="6" style="119" customWidth="1"/>
    <col min="14850" max="14850" width="52.140625" style="119" customWidth="1"/>
    <col min="14851" max="14851" width="18.85546875" style="119" customWidth="1"/>
    <col min="14852" max="14852" width="19.140625" style="119" customWidth="1"/>
    <col min="14853" max="14853" width="15.140625" style="119" customWidth="1"/>
    <col min="14854" max="14854" width="17.42578125" style="119" customWidth="1"/>
    <col min="14855" max="14855" width="15.140625" style="119" customWidth="1"/>
    <col min="14856" max="14856" width="17.28515625" style="119" customWidth="1"/>
    <col min="14857" max="14857" width="11.7109375" style="119" customWidth="1"/>
    <col min="14858" max="14858" width="11.7109375" style="119" bestFit="1" customWidth="1"/>
    <col min="14859" max="14859" width="10.140625" style="119" customWidth="1"/>
    <col min="14860" max="14860" width="11.42578125" style="119" customWidth="1"/>
    <col min="14861" max="14861" width="27.140625" style="119" customWidth="1"/>
    <col min="14862" max="14862" width="16.42578125" style="119" customWidth="1"/>
    <col min="14863" max="14863" width="13.140625" style="119" customWidth="1"/>
    <col min="14864" max="14864" width="10.7109375" style="119" customWidth="1"/>
    <col min="14865" max="14865" width="10.85546875" style="119" customWidth="1"/>
    <col min="14866" max="14866" width="10.42578125" style="119" customWidth="1"/>
    <col min="14867" max="14867" width="10.7109375" style="119" customWidth="1"/>
    <col min="14868" max="14870" width="12.5703125" style="119" customWidth="1"/>
    <col min="14871" max="14871" width="9.5703125" style="119" bestFit="1" customWidth="1"/>
    <col min="14872" max="15104" width="9.140625" style="119"/>
    <col min="15105" max="15105" width="6" style="119" customWidth="1"/>
    <col min="15106" max="15106" width="52.140625" style="119" customWidth="1"/>
    <col min="15107" max="15107" width="18.85546875" style="119" customWidth="1"/>
    <col min="15108" max="15108" width="19.140625" style="119" customWidth="1"/>
    <col min="15109" max="15109" width="15.140625" style="119" customWidth="1"/>
    <col min="15110" max="15110" width="17.42578125" style="119" customWidth="1"/>
    <col min="15111" max="15111" width="15.140625" style="119" customWidth="1"/>
    <col min="15112" max="15112" width="17.28515625" style="119" customWidth="1"/>
    <col min="15113" max="15113" width="11.7109375" style="119" customWidth="1"/>
    <col min="15114" max="15114" width="11.7109375" style="119" bestFit="1" customWidth="1"/>
    <col min="15115" max="15115" width="10.140625" style="119" customWidth="1"/>
    <col min="15116" max="15116" width="11.42578125" style="119" customWidth="1"/>
    <col min="15117" max="15117" width="27.140625" style="119" customWidth="1"/>
    <col min="15118" max="15118" width="16.42578125" style="119" customWidth="1"/>
    <col min="15119" max="15119" width="13.140625" style="119" customWidth="1"/>
    <col min="15120" max="15120" width="10.7109375" style="119" customWidth="1"/>
    <col min="15121" max="15121" width="10.85546875" style="119" customWidth="1"/>
    <col min="15122" max="15122" width="10.42578125" style="119" customWidth="1"/>
    <col min="15123" max="15123" width="10.7109375" style="119" customWidth="1"/>
    <col min="15124" max="15126" width="12.5703125" style="119" customWidth="1"/>
    <col min="15127" max="15127" width="9.5703125" style="119" bestFit="1" customWidth="1"/>
    <col min="15128" max="15360" width="9.140625" style="119"/>
    <col min="15361" max="15361" width="6" style="119" customWidth="1"/>
    <col min="15362" max="15362" width="52.140625" style="119" customWidth="1"/>
    <col min="15363" max="15363" width="18.85546875" style="119" customWidth="1"/>
    <col min="15364" max="15364" width="19.140625" style="119" customWidth="1"/>
    <col min="15365" max="15365" width="15.140625" style="119" customWidth="1"/>
    <col min="15366" max="15366" width="17.42578125" style="119" customWidth="1"/>
    <col min="15367" max="15367" width="15.140625" style="119" customWidth="1"/>
    <col min="15368" max="15368" width="17.28515625" style="119" customWidth="1"/>
    <col min="15369" max="15369" width="11.7109375" style="119" customWidth="1"/>
    <col min="15370" max="15370" width="11.7109375" style="119" bestFit="1" customWidth="1"/>
    <col min="15371" max="15371" width="10.140625" style="119" customWidth="1"/>
    <col min="15372" max="15372" width="11.42578125" style="119" customWidth="1"/>
    <col min="15373" max="15373" width="27.140625" style="119" customWidth="1"/>
    <col min="15374" max="15374" width="16.42578125" style="119" customWidth="1"/>
    <col min="15375" max="15375" width="13.140625" style="119" customWidth="1"/>
    <col min="15376" max="15376" width="10.7109375" style="119" customWidth="1"/>
    <col min="15377" max="15377" width="10.85546875" style="119" customWidth="1"/>
    <col min="15378" max="15378" width="10.42578125" style="119" customWidth="1"/>
    <col min="15379" max="15379" width="10.7109375" style="119" customWidth="1"/>
    <col min="15380" max="15382" width="12.5703125" style="119" customWidth="1"/>
    <col min="15383" max="15383" width="9.5703125" style="119" bestFit="1" customWidth="1"/>
    <col min="15384" max="15616" width="9.140625" style="119"/>
    <col min="15617" max="15617" width="6" style="119" customWidth="1"/>
    <col min="15618" max="15618" width="52.140625" style="119" customWidth="1"/>
    <col min="15619" max="15619" width="18.85546875" style="119" customWidth="1"/>
    <col min="15620" max="15620" width="19.140625" style="119" customWidth="1"/>
    <col min="15621" max="15621" width="15.140625" style="119" customWidth="1"/>
    <col min="15622" max="15622" width="17.42578125" style="119" customWidth="1"/>
    <col min="15623" max="15623" width="15.140625" style="119" customWidth="1"/>
    <col min="15624" max="15624" width="17.28515625" style="119" customWidth="1"/>
    <col min="15625" max="15625" width="11.7109375" style="119" customWidth="1"/>
    <col min="15626" max="15626" width="11.7109375" style="119" bestFit="1" customWidth="1"/>
    <col min="15627" max="15627" width="10.140625" style="119" customWidth="1"/>
    <col min="15628" max="15628" width="11.42578125" style="119" customWidth="1"/>
    <col min="15629" max="15629" width="27.140625" style="119" customWidth="1"/>
    <col min="15630" max="15630" width="16.42578125" style="119" customWidth="1"/>
    <col min="15631" max="15631" width="13.140625" style="119" customWidth="1"/>
    <col min="15632" max="15632" width="10.7109375" style="119" customWidth="1"/>
    <col min="15633" max="15633" width="10.85546875" style="119" customWidth="1"/>
    <col min="15634" max="15634" width="10.42578125" style="119" customWidth="1"/>
    <col min="15635" max="15635" width="10.7109375" style="119" customWidth="1"/>
    <col min="15636" max="15638" width="12.5703125" style="119" customWidth="1"/>
    <col min="15639" max="15639" width="9.5703125" style="119" bestFit="1" customWidth="1"/>
    <col min="15640" max="15872" width="9.140625" style="119"/>
    <col min="15873" max="15873" width="6" style="119" customWidth="1"/>
    <col min="15874" max="15874" width="52.140625" style="119" customWidth="1"/>
    <col min="15875" max="15875" width="18.85546875" style="119" customWidth="1"/>
    <col min="15876" max="15876" width="19.140625" style="119" customWidth="1"/>
    <col min="15877" max="15877" width="15.140625" style="119" customWidth="1"/>
    <col min="15878" max="15878" width="17.42578125" style="119" customWidth="1"/>
    <col min="15879" max="15879" width="15.140625" style="119" customWidth="1"/>
    <col min="15880" max="15880" width="17.28515625" style="119" customWidth="1"/>
    <col min="15881" max="15881" width="11.7109375" style="119" customWidth="1"/>
    <col min="15882" max="15882" width="11.7109375" style="119" bestFit="1" customWidth="1"/>
    <col min="15883" max="15883" width="10.140625" style="119" customWidth="1"/>
    <col min="15884" max="15884" width="11.42578125" style="119" customWidth="1"/>
    <col min="15885" max="15885" width="27.140625" style="119" customWidth="1"/>
    <col min="15886" max="15886" width="16.42578125" style="119" customWidth="1"/>
    <col min="15887" max="15887" width="13.140625" style="119" customWidth="1"/>
    <col min="15888" max="15888" width="10.7109375" style="119" customWidth="1"/>
    <col min="15889" max="15889" width="10.85546875" style="119" customWidth="1"/>
    <col min="15890" max="15890" width="10.42578125" style="119" customWidth="1"/>
    <col min="15891" max="15891" width="10.7109375" style="119" customWidth="1"/>
    <col min="15892" max="15894" width="12.5703125" style="119" customWidth="1"/>
    <col min="15895" max="15895" width="9.5703125" style="119" bestFit="1" customWidth="1"/>
    <col min="15896" max="16128" width="9.140625" style="119"/>
    <col min="16129" max="16129" width="6" style="119" customWidth="1"/>
    <col min="16130" max="16130" width="52.140625" style="119" customWidth="1"/>
    <col min="16131" max="16131" width="18.85546875" style="119" customWidth="1"/>
    <col min="16132" max="16132" width="19.140625" style="119" customWidth="1"/>
    <col min="16133" max="16133" width="15.140625" style="119" customWidth="1"/>
    <col min="16134" max="16134" width="17.42578125" style="119" customWidth="1"/>
    <col min="16135" max="16135" width="15.140625" style="119" customWidth="1"/>
    <col min="16136" max="16136" width="17.28515625" style="119" customWidth="1"/>
    <col min="16137" max="16137" width="11.7109375" style="119" customWidth="1"/>
    <col min="16138" max="16138" width="11.7109375" style="119" bestFit="1" customWidth="1"/>
    <col min="16139" max="16139" width="10.140625" style="119" customWidth="1"/>
    <col min="16140" max="16140" width="11.42578125" style="119" customWidth="1"/>
    <col min="16141" max="16141" width="27.140625" style="119" customWidth="1"/>
    <col min="16142" max="16142" width="16.42578125" style="119" customWidth="1"/>
    <col min="16143" max="16143" width="13.140625" style="119" customWidth="1"/>
    <col min="16144" max="16144" width="10.7109375" style="119" customWidth="1"/>
    <col min="16145" max="16145" width="10.85546875" style="119" customWidth="1"/>
    <col min="16146" max="16146" width="10.42578125" style="119" customWidth="1"/>
    <col min="16147" max="16147" width="10.7109375" style="119" customWidth="1"/>
    <col min="16148" max="16150" width="12.5703125" style="119" customWidth="1"/>
    <col min="16151" max="16151" width="9.5703125" style="119" bestFit="1" customWidth="1"/>
    <col min="16152" max="16384" width="9.140625" style="119"/>
  </cols>
  <sheetData>
    <row r="1" spans="1:23" ht="18" customHeight="1" x14ac:dyDescent="0.2">
      <c r="B1" s="119">
        <f>271.29+244.88</f>
        <v>516.17000000000007</v>
      </c>
      <c r="C1" s="2644">
        <f>D22+D36+D40</f>
        <v>442.24</v>
      </c>
      <c r="D1" s="1431">
        <f>C2-C1</f>
        <v>73.92999999999995</v>
      </c>
      <c r="E1" s="1431">
        <f>185.28+D40</f>
        <v>203.34</v>
      </c>
      <c r="F1" s="1431">
        <f>C36-D36</f>
        <v>59.450000000000017</v>
      </c>
      <c r="H1" s="2645" t="s">
        <v>2172</v>
      </c>
    </row>
    <row r="2" spans="1:23" x14ac:dyDescent="0.2">
      <c r="B2" s="2647">
        <f>C22+C36+C37+C40</f>
        <v>3699.7725</v>
      </c>
      <c r="C2" s="2648">
        <f>C22+C36+C40</f>
        <v>516.16999999999996</v>
      </c>
      <c r="D2" s="1431">
        <f>D22+D36+D37+D40</f>
        <v>3625.8424999999997</v>
      </c>
      <c r="E2" s="3007">
        <f>D36+D40</f>
        <v>211.84</v>
      </c>
      <c r="F2" s="119">
        <v>3625.78</v>
      </c>
      <c r="H2" s="190"/>
    </row>
    <row r="3" spans="1:23" ht="39.75" customHeight="1" x14ac:dyDescent="0.25">
      <c r="A3" s="3406" t="s">
        <v>2173</v>
      </c>
      <c r="B3" s="3261"/>
      <c r="C3" s="3261"/>
      <c r="D3" s="3261"/>
      <c r="E3" s="3261"/>
      <c r="F3" s="3261"/>
      <c r="G3" s="3261"/>
      <c r="H3" s="3261"/>
    </row>
    <row r="4" spans="1:23" ht="16.5" x14ac:dyDescent="0.25">
      <c r="A4" s="3407" t="str">
        <f>'[8]01_TH'!A3:I3</f>
        <v>(Kèm theo Báo cáo số           /BC-UBND ngày  20/3/2026 của UBND phường Bắc Kạn)</v>
      </c>
      <c r="B4" s="3122"/>
      <c r="C4" s="3122"/>
      <c r="D4" s="3122"/>
      <c r="E4" s="3122"/>
      <c r="F4" s="3122"/>
      <c r="G4" s="3122"/>
      <c r="H4" s="3122"/>
    </row>
    <row r="5" spans="1:23" x14ac:dyDescent="0.2">
      <c r="B5" s="2647">
        <f>C22+C36+C40</f>
        <v>516.16999999999996</v>
      </c>
      <c r="C5" s="2648">
        <f>271.29+244.88</f>
        <v>516.17000000000007</v>
      </c>
      <c r="D5" s="1431">
        <f>C36+C40</f>
        <v>271.29000000000002</v>
      </c>
      <c r="E5" s="1431">
        <v>211.84</v>
      </c>
      <c r="F5" s="3007">
        <f>E5-E2</f>
        <v>0</v>
      </c>
      <c r="H5" s="2392" t="s">
        <v>895</v>
      </c>
    </row>
    <row r="6" spans="1:23" s="36" customFormat="1" ht="15" x14ac:dyDescent="0.25">
      <c r="A6" s="3408" t="s">
        <v>0</v>
      </c>
      <c r="B6" s="3408" t="s">
        <v>1193</v>
      </c>
      <c r="C6" s="3409" t="s">
        <v>2174</v>
      </c>
      <c r="D6" s="3412" t="s">
        <v>2175</v>
      </c>
      <c r="E6" s="3413" t="s">
        <v>2176</v>
      </c>
      <c r="F6" s="3413"/>
      <c r="G6" s="3413" t="s">
        <v>2177</v>
      </c>
      <c r="H6" s="3413"/>
      <c r="M6" s="168"/>
      <c r="N6" s="310"/>
      <c r="O6" s="310"/>
      <c r="P6" s="310"/>
      <c r="Q6" s="310"/>
      <c r="R6" s="310"/>
    </row>
    <row r="7" spans="1:23" s="36" customFormat="1" ht="16.5" customHeight="1" x14ac:dyDescent="0.25">
      <c r="A7" s="3408"/>
      <c r="B7" s="3408"/>
      <c r="C7" s="3410"/>
      <c r="D7" s="3412"/>
      <c r="E7" s="3413"/>
      <c r="F7" s="3413"/>
      <c r="G7" s="3413"/>
      <c r="H7" s="3413"/>
      <c r="M7" s="168"/>
      <c r="N7" s="310"/>
      <c r="O7" s="310"/>
      <c r="P7" s="310"/>
      <c r="Q7" s="310"/>
      <c r="R7" s="310"/>
      <c r="V7" s="36">
        <v>6.0471599999999999</v>
      </c>
      <c r="W7" s="433">
        <f>V7-V14</f>
        <v>6.0471599999999661</v>
      </c>
    </row>
    <row r="8" spans="1:23" s="36" customFormat="1" ht="23.25" customHeight="1" x14ac:dyDescent="0.25">
      <c r="A8" s="3408"/>
      <c r="B8" s="3408"/>
      <c r="C8" s="3411"/>
      <c r="D8" s="3412"/>
      <c r="E8" s="2661" t="s">
        <v>2178</v>
      </c>
      <c r="F8" s="2660" t="s">
        <v>1080</v>
      </c>
      <c r="G8" s="2661" t="s">
        <v>2178</v>
      </c>
      <c r="H8" s="2660" t="s">
        <v>1080</v>
      </c>
      <c r="M8" s="168"/>
      <c r="N8" s="310"/>
      <c r="O8" s="310"/>
      <c r="P8" s="310"/>
      <c r="Q8" s="310"/>
      <c r="R8" s="310"/>
      <c r="T8" s="501">
        <f>T14-V7</f>
        <v>7.5848400000000336</v>
      </c>
      <c r="U8" s="501">
        <f>W14-T8</f>
        <v>6.0471599999999661</v>
      </c>
      <c r="V8" s="1359">
        <f>SUM(V13:V21)+U25</f>
        <v>0.51800000000011803</v>
      </c>
    </row>
    <row r="9" spans="1:23" s="36" customFormat="1" ht="21.75" customHeight="1" x14ac:dyDescent="0.25">
      <c r="A9" s="2662" t="s">
        <v>3</v>
      </c>
      <c r="B9" s="2663" t="s">
        <v>4</v>
      </c>
      <c r="C9" s="2664"/>
      <c r="D9" s="2665" t="s">
        <v>2179</v>
      </c>
      <c r="E9" s="2663">
        <v>2</v>
      </c>
      <c r="F9" s="2666">
        <v>3</v>
      </c>
      <c r="G9" s="2666">
        <v>4</v>
      </c>
      <c r="H9" s="2666">
        <v>5</v>
      </c>
      <c r="M9" s="168"/>
      <c r="N9" s="310"/>
      <c r="O9" s="310"/>
      <c r="P9" s="310"/>
      <c r="Q9" s="310"/>
      <c r="R9" s="310"/>
    </row>
    <row r="10" spans="1:23" s="36" customFormat="1" ht="21" customHeight="1" x14ac:dyDescent="0.25">
      <c r="A10" s="2663"/>
      <c r="B10" s="3006" t="s">
        <v>29</v>
      </c>
      <c r="C10" s="3008">
        <f t="shared" ref="C10:H10" si="0">C12+C25</f>
        <v>9049.5989600000012</v>
      </c>
      <c r="D10" s="3009">
        <f t="shared" si="0"/>
        <v>8849.3639999999996</v>
      </c>
      <c r="E10" s="3010">
        <f t="shared" si="0"/>
        <v>1395</v>
      </c>
      <c r="F10" s="3011">
        <f t="shared" si="0"/>
        <v>3652.1690000000003</v>
      </c>
      <c r="G10" s="3010">
        <f t="shared" si="0"/>
        <v>5235</v>
      </c>
      <c r="H10" s="3011">
        <f t="shared" si="0"/>
        <v>5197.1149999999998</v>
      </c>
      <c r="M10" s="2649"/>
      <c r="N10" s="3403" t="s">
        <v>2</v>
      </c>
      <c r="O10" s="3404"/>
      <c r="P10" s="3404"/>
      <c r="Q10" s="3404"/>
      <c r="R10" s="3405"/>
      <c r="S10" s="3402" t="s">
        <v>2180</v>
      </c>
      <c r="T10" s="3402" t="s">
        <v>1980</v>
      </c>
      <c r="U10" s="3402"/>
      <c r="V10" s="3402" t="s">
        <v>2207</v>
      </c>
      <c r="W10" s="3402" t="s">
        <v>2204</v>
      </c>
    </row>
    <row r="11" spans="1:23" s="36" customFormat="1" ht="9" hidden="1" customHeight="1" x14ac:dyDescent="0.25">
      <c r="A11" s="2663"/>
      <c r="B11" s="3012" t="s">
        <v>2181</v>
      </c>
      <c r="C11" s="3013"/>
      <c r="D11" s="3014"/>
      <c r="E11" s="3015"/>
      <c r="F11" s="3016"/>
      <c r="G11" s="3015"/>
      <c r="H11" s="3016"/>
      <c r="M11" s="2649"/>
      <c r="N11" s="2650"/>
      <c r="O11" s="2650"/>
      <c r="P11" s="2650"/>
      <c r="Q11" s="2650"/>
      <c r="R11" s="2650"/>
      <c r="S11" s="3402"/>
      <c r="T11" s="250"/>
      <c r="U11" s="285"/>
      <c r="V11" s="3402"/>
      <c r="W11" s="3402"/>
    </row>
    <row r="12" spans="1:23" s="36" customFormat="1" ht="30" x14ac:dyDescent="0.25">
      <c r="A12" s="3006" t="s">
        <v>3</v>
      </c>
      <c r="B12" s="3017" t="s">
        <v>2182</v>
      </c>
      <c r="C12" s="3011">
        <f>SUM(C13:C24)</f>
        <v>540.74796000000003</v>
      </c>
      <c r="D12" s="3011">
        <f>SUM(D13:D24)</f>
        <v>420.375</v>
      </c>
      <c r="E12" s="3011">
        <f t="shared" ref="E12:H12" si="1">SUM(E13:E24)</f>
        <v>147</v>
      </c>
      <c r="F12" s="3011">
        <f t="shared" si="1"/>
        <v>110.175</v>
      </c>
      <c r="G12" s="3011">
        <f t="shared" si="1"/>
        <v>405</v>
      </c>
      <c r="H12" s="3011">
        <f t="shared" si="1"/>
        <v>310.12</v>
      </c>
      <c r="I12" s="1359"/>
      <c r="M12" s="2649"/>
      <c r="N12" s="245" t="s">
        <v>2199</v>
      </c>
      <c r="O12" s="249" t="s">
        <v>2183</v>
      </c>
      <c r="P12" s="249" t="s">
        <v>2200</v>
      </c>
      <c r="Q12" s="249" t="s">
        <v>2201</v>
      </c>
      <c r="R12" s="2650" t="s">
        <v>2202</v>
      </c>
      <c r="S12" s="3402"/>
      <c r="T12" s="715" t="s">
        <v>2205</v>
      </c>
      <c r="U12" s="432" t="s">
        <v>2206</v>
      </c>
      <c r="V12" s="3402"/>
      <c r="W12" s="3402"/>
    </row>
    <row r="13" spans="1:23" s="36" customFormat="1" ht="15" x14ac:dyDescent="0.25">
      <c r="A13" s="2663">
        <v>1</v>
      </c>
      <c r="B13" s="3018" t="s">
        <v>2184</v>
      </c>
      <c r="C13" s="2664">
        <v>6.75</v>
      </c>
      <c r="D13" s="2664">
        <f>F13+H13</f>
        <v>4.2</v>
      </c>
      <c r="E13" s="3019">
        <v>4</v>
      </c>
      <c r="F13" s="3020">
        <v>3</v>
      </c>
      <c r="G13" s="3019">
        <v>2</v>
      </c>
      <c r="H13" s="3020">
        <v>1.2</v>
      </c>
      <c r="I13" s="1359">
        <f>C13-D13</f>
        <v>2.5499999999999998</v>
      </c>
      <c r="J13" s="2651">
        <f t="shared" ref="J13:J21" si="2">I13+I27</f>
        <v>2.5499999999999998</v>
      </c>
      <c r="M13" s="2667" t="s">
        <v>2184</v>
      </c>
      <c r="N13" s="2652">
        <f>C13+C27+C53</f>
        <v>93.3</v>
      </c>
      <c r="O13" s="2652">
        <f>5.048+6.75</f>
        <v>11.798</v>
      </c>
      <c r="P13" s="2650">
        <v>81.502499999999998</v>
      </c>
      <c r="Q13" s="2650">
        <v>2.0194000000000001</v>
      </c>
      <c r="R13" s="2650">
        <f>P13+Q13</f>
        <v>83.521900000000002</v>
      </c>
      <c r="S13" s="2652">
        <f>D13+D27+D53</f>
        <v>90.75</v>
      </c>
      <c r="T13" s="2668">
        <f>N13-S13</f>
        <v>2.5499999999999972</v>
      </c>
      <c r="U13" s="2668"/>
      <c r="V13" s="3021">
        <f>T13-W13</f>
        <v>0</v>
      </c>
      <c r="W13" s="287">
        <v>2.5499999999999998</v>
      </c>
    </row>
    <row r="14" spans="1:23" s="36" customFormat="1" ht="15" x14ac:dyDescent="0.25">
      <c r="A14" s="2663">
        <v>2</v>
      </c>
      <c r="B14" s="3018" t="s">
        <v>2185</v>
      </c>
      <c r="C14" s="2664">
        <v>17.55</v>
      </c>
      <c r="D14" s="2664">
        <f t="shared" ref="D14:D21" si="3">+F14+H14</f>
        <v>13.95</v>
      </c>
      <c r="E14" s="3019">
        <v>12</v>
      </c>
      <c r="F14" s="3020">
        <v>9</v>
      </c>
      <c r="G14" s="3019">
        <v>8</v>
      </c>
      <c r="H14" s="3020">
        <v>4.95</v>
      </c>
      <c r="I14" s="1359">
        <f t="shared" ref="I14:I20" si="4">C14-D14</f>
        <v>3.6000000000000014</v>
      </c>
      <c r="J14" s="2651">
        <f t="shared" si="2"/>
        <v>13.632000000000012</v>
      </c>
      <c r="K14" s="36">
        <v>13.6332</v>
      </c>
      <c r="L14" s="433">
        <f>J14-K14</f>
        <v>-1.1999999999883215E-3</v>
      </c>
      <c r="M14" s="2667" t="s">
        <v>2185</v>
      </c>
      <c r="N14" s="2652">
        <f>C14+C28+C41</f>
        <v>152.51900000000001</v>
      </c>
      <c r="O14" s="2650">
        <f>18.809+17.55</f>
        <v>36.359000000000002</v>
      </c>
      <c r="P14" s="2650">
        <v>116.16</v>
      </c>
      <c r="Q14" s="2650">
        <v>6.0471599999999999</v>
      </c>
      <c r="R14" s="2650">
        <f t="shared" ref="R14:R22" si="5">P14+Q14</f>
        <v>122.20716</v>
      </c>
      <c r="S14" s="2652">
        <f>D14+D28+D41</f>
        <v>138.88699999999997</v>
      </c>
      <c r="T14" s="2668">
        <f t="shared" ref="T14:T22" si="6">N14-S14</f>
        <v>13.632000000000033</v>
      </c>
      <c r="U14" s="2668"/>
      <c r="V14" s="3021">
        <f t="shared" ref="V14:V22" si="7">T14-W14</f>
        <v>3.3750779948604759E-14</v>
      </c>
      <c r="W14" s="3022">
        <f>13.6332-0.0012</f>
        <v>13.632</v>
      </c>
    </row>
    <row r="15" spans="1:23" s="36" customFormat="1" ht="15" x14ac:dyDescent="0.25">
      <c r="A15" s="2663">
        <v>3</v>
      </c>
      <c r="B15" s="3018" t="s">
        <v>2186</v>
      </c>
      <c r="C15" s="2664">
        <v>12.15</v>
      </c>
      <c r="D15" s="2664">
        <f t="shared" si="3"/>
        <v>12.15</v>
      </c>
      <c r="E15" s="3019">
        <v>12</v>
      </c>
      <c r="F15" s="3020">
        <v>8.9250000000000007</v>
      </c>
      <c r="G15" s="3019">
        <v>6</v>
      </c>
      <c r="H15" s="3020">
        <v>3.2250000000000001</v>
      </c>
      <c r="I15" s="1359">
        <f t="shared" si="4"/>
        <v>0</v>
      </c>
      <c r="J15" s="433">
        <f t="shared" si="2"/>
        <v>0</v>
      </c>
      <c r="M15" s="2667" t="s">
        <v>2186</v>
      </c>
      <c r="N15" s="2652">
        <f>C15+C29+C54</f>
        <v>412.73399999999998</v>
      </c>
      <c r="O15" s="2650">
        <f>12.15+56.16</f>
        <v>68.31</v>
      </c>
      <c r="P15" s="2650">
        <v>344.42399999999998</v>
      </c>
      <c r="Q15" s="2650">
        <v>21.312000000000001</v>
      </c>
      <c r="R15" s="2650">
        <f t="shared" si="5"/>
        <v>365.73599999999999</v>
      </c>
      <c r="S15" s="2652">
        <f>D15+D29+D54</f>
        <v>412.73399999999998</v>
      </c>
      <c r="T15" s="2668">
        <f t="shared" si="6"/>
        <v>0</v>
      </c>
      <c r="U15" s="2668"/>
      <c r="V15" s="3021">
        <f t="shared" si="7"/>
        <v>0</v>
      </c>
      <c r="W15" s="287"/>
    </row>
    <row r="16" spans="1:23" s="36" customFormat="1" ht="15" x14ac:dyDescent="0.25">
      <c r="A16" s="2663">
        <v>4</v>
      </c>
      <c r="B16" s="3018" t="s">
        <v>2187</v>
      </c>
      <c r="C16" s="2664">
        <v>10.8</v>
      </c>
      <c r="D16" s="2664">
        <f t="shared" si="3"/>
        <v>6.9</v>
      </c>
      <c r="E16" s="3019">
        <v>6</v>
      </c>
      <c r="F16" s="3020">
        <v>4.5</v>
      </c>
      <c r="G16" s="3019">
        <v>4</v>
      </c>
      <c r="H16" s="3020">
        <v>2.4</v>
      </c>
      <c r="I16" s="1359">
        <f t="shared" si="4"/>
        <v>3.9000000000000004</v>
      </c>
      <c r="J16" s="433">
        <f t="shared" si="2"/>
        <v>3.9989999999999899</v>
      </c>
      <c r="K16" s="36">
        <v>99000</v>
      </c>
      <c r="M16" s="2667" t="s">
        <v>2187</v>
      </c>
      <c r="N16" s="2652">
        <f>C16+C30+C55</f>
        <v>416.06700000000001</v>
      </c>
      <c r="O16" s="2650">
        <f>10.8+46.908</f>
        <v>57.707999999999998</v>
      </c>
      <c r="P16" s="2650">
        <v>358.35899999999998</v>
      </c>
      <c r="Q16" s="2650">
        <v>18.763200000000001</v>
      </c>
      <c r="R16" s="2650">
        <f t="shared" si="5"/>
        <v>377.12219999999996</v>
      </c>
      <c r="S16" s="2652">
        <f>D16+D30+D55</f>
        <v>412.06799999999998</v>
      </c>
      <c r="T16" s="2668">
        <f t="shared" si="6"/>
        <v>3.9990000000000236</v>
      </c>
      <c r="U16" s="2668">
        <v>9.9000000000000005E-2</v>
      </c>
      <c r="V16" s="3021">
        <f>T16-W16</f>
        <v>9.9000000000023736E-2</v>
      </c>
      <c r="W16" s="287">
        <v>3.9</v>
      </c>
    </row>
    <row r="17" spans="1:24" s="36" customFormat="1" ht="15" x14ac:dyDescent="0.25">
      <c r="A17" s="2663">
        <v>5</v>
      </c>
      <c r="B17" s="3018" t="s">
        <v>2188</v>
      </c>
      <c r="C17" s="2664">
        <v>25.425000000000001</v>
      </c>
      <c r="D17" s="2664">
        <f t="shared" si="3"/>
        <v>25.425000000000001</v>
      </c>
      <c r="E17" s="3019">
        <v>19</v>
      </c>
      <c r="F17" s="3020">
        <v>14.25</v>
      </c>
      <c r="G17" s="3019">
        <v>19</v>
      </c>
      <c r="H17" s="3020">
        <v>11.175000000000001</v>
      </c>
      <c r="I17" s="1359">
        <f t="shared" si="4"/>
        <v>0</v>
      </c>
      <c r="J17" s="433">
        <f t="shared" si="2"/>
        <v>0</v>
      </c>
      <c r="M17" s="2667" t="s">
        <v>2188</v>
      </c>
      <c r="N17" s="2652">
        <f>C17+C31</f>
        <v>732.94499999999994</v>
      </c>
      <c r="O17" s="2650">
        <f>24.3+1.125</f>
        <v>25.425000000000001</v>
      </c>
      <c r="P17" s="2650">
        <v>707.52</v>
      </c>
      <c r="Q17" s="2650"/>
      <c r="R17" s="2650">
        <f>P17+Q17</f>
        <v>707.52</v>
      </c>
      <c r="S17" s="2652">
        <f>D17+D31</f>
        <v>732.94499999999994</v>
      </c>
      <c r="T17" s="2668">
        <f t="shared" si="6"/>
        <v>0</v>
      </c>
      <c r="U17" s="2668"/>
      <c r="V17" s="3021">
        <f t="shared" si="7"/>
        <v>0</v>
      </c>
      <c r="W17" s="287"/>
    </row>
    <row r="18" spans="1:24" s="36" customFormat="1" ht="15" x14ac:dyDescent="0.25">
      <c r="A18" s="2663">
        <v>6</v>
      </c>
      <c r="B18" s="3018" t="s">
        <v>2189</v>
      </c>
      <c r="C18" s="2664">
        <v>20.25</v>
      </c>
      <c r="D18" s="2664">
        <f t="shared" si="3"/>
        <v>18.75</v>
      </c>
      <c r="E18" s="3019">
        <v>14</v>
      </c>
      <c r="F18" s="3020">
        <v>10.5</v>
      </c>
      <c r="G18" s="3019">
        <v>10</v>
      </c>
      <c r="H18" s="3020">
        <v>8.25</v>
      </c>
      <c r="I18" s="1359">
        <f t="shared" si="4"/>
        <v>1.5</v>
      </c>
      <c r="J18" s="2653">
        <f t="shared" si="2"/>
        <v>1.5</v>
      </c>
      <c r="M18" s="2667" t="s">
        <v>2189</v>
      </c>
      <c r="N18" s="2652">
        <f>C18+C32</f>
        <v>869.85</v>
      </c>
      <c r="O18" s="2650">
        <f>20.25</f>
        <v>20.25</v>
      </c>
      <c r="P18" s="2650">
        <v>849.6</v>
      </c>
      <c r="Q18" s="2650"/>
      <c r="R18" s="2650">
        <f t="shared" si="5"/>
        <v>849.6</v>
      </c>
      <c r="S18" s="2652">
        <f>D18+D32</f>
        <v>868.35</v>
      </c>
      <c r="T18" s="2668">
        <f t="shared" si="6"/>
        <v>1.5</v>
      </c>
      <c r="U18" s="2668"/>
      <c r="V18" s="3021">
        <f t="shared" si="7"/>
        <v>0</v>
      </c>
      <c r="W18" s="287">
        <v>1.5</v>
      </c>
    </row>
    <row r="19" spans="1:24" s="36" customFormat="1" ht="15" x14ac:dyDescent="0.25">
      <c r="A19" s="2663">
        <v>7</v>
      </c>
      <c r="B19" s="3018" t="s">
        <v>2190</v>
      </c>
      <c r="C19" s="2664">
        <v>63.45</v>
      </c>
      <c r="D19" s="2664">
        <f t="shared" si="3"/>
        <v>55.2</v>
      </c>
      <c r="E19" s="3019">
        <v>44</v>
      </c>
      <c r="F19" s="3020">
        <v>33</v>
      </c>
      <c r="G19" s="3019">
        <v>37</v>
      </c>
      <c r="H19" s="3020">
        <v>22.2</v>
      </c>
      <c r="I19" s="1359">
        <f t="shared" si="4"/>
        <v>8.25</v>
      </c>
      <c r="J19" s="2654">
        <f t="shared" si="2"/>
        <v>18.531000000000063</v>
      </c>
      <c r="K19" s="36">
        <v>18.370999999999999</v>
      </c>
      <c r="L19" s="433">
        <f>J19-K19</f>
        <v>0.16000000000006409</v>
      </c>
      <c r="M19" s="2667" t="s">
        <v>2190</v>
      </c>
      <c r="N19" s="2652">
        <f>C19+C33+C56</f>
        <v>537.29100000000005</v>
      </c>
      <c r="O19" s="2650">
        <f>25.65+13.841+37.8</f>
        <v>77.290999999999997</v>
      </c>
      <c r="P19" s="2650">
        <v>460</v>
      </c>
      <c r="Q19" s="2650">
        <v>4.2531999999999996</v>
      </c>
      <c r="R19" s="2650">
        <f t="shared" si="5"/>
        <v>464.25319999999999</v>
      </c>
      <c r="S19" s="2652">
        <f>D19+D33+D56</f>
        <v>518.76</v>
      </c>
      <c r="T19" s="2668">
        <f t="shared" si="6"/>
        <v>18.531000000000063</v>
      </c>
      <c r="U19" s="3023">
        <v>0.16</v>
      </c>
      <c r="V19" s="3024">
        <f>T19-W19</f>
        <v>0.16000000000006054</v>
      </c>
      <c r="W19" s="287">
        <f>7.65+10.721</f>
        <v>18.371000000000002</v>
      </c>
    </row>
    <row r="20" spans="1:24" s="36" customFormat="1" ht="15" x14ac:dyDescent="0.25">
      <c r="A20" s="2663">
        <v>8</v>
      </c>
      <c r="B20" s="3018" t="s">
        <v>2191</v>
      </c>
      <c r="C20" s="2664">
        <v>27.15</v>
      </c>
      <c r="D20" s="2664">
        <f t="shared" si="3"/>
        <v>27.15</v>
      </c>
      <c r="E20" s="3019">
        <v>17</v>
      </c>
      <c r="F20" s="3020">
        <v>12.75</v>
      </c>
      <c r="G20" s="3019">
        <v>24</v>
      </c>
      <c r="H20" s="3020">
        <v>14.4</v>
      </c>
      <c r="I20" s="1359">
        <f t="shared" si="4"/>
        <v>0</v>
      </c>
      <c r="J20" s="433">
        <f t="shared" si="2"/>
        <v>0</v>
      </c>
      <c r="M20" s="2667" t="s">
        <v>2191</v>
      </c>
      <c r="N20" s="2652">
        <f>C20+C34+C57</f>
        <v>1596.375</v>
      </c>
      <c r="O20" s="2652">
        <f>14.088+27+0.15</f>
        <v>41.238</v>
      </c>
      <c r="P20" s="2650">
        <v>1555.1369999999999</v>
      </c>
      <c r="Q20" s="2650">
        <v>5.0179999999999998</v>
      </c>
      <c r="R20" s="2650">
        <f t="shared" si="5"/>
        <v>1560.155</v>
      </c>
      <c r="S20" s="2652">
        <f>D20+D34+D57</f>
        <v>1596.375</v>
      </c>
      <c r="T20" s="2668">
        <f t="shared" si="6"/>
        <v>0</v>
      </c>
      <c r="U20" s="2668"/>
      <c r="V20" s="3021">
        <f t="shared" si="7"/>
        <v>0</v>
      </c>
      <c r="W20" s="287"/>
    </row>
    <row r="21" spans="1:24" s="36" customFormat="1" ht="15" x14ac:dyDescent="0.25">
      <c r="A21" s="2663">
        <v>9</v>
      </c>
      <c r="B21" s="3018" t="s">
        <v>2192</v>
      </c>
      <c r="C21" s="2664">
        <v>54.075000000000003</v>
      </c>
      <c r="D21" s="2664">
        <f t="shared" si="3"/>
        <v>26.25</v>
      </c>
      <c r="E21" s="3019">
        <f>10+9</f>
        <v>19</v>
      </c>
      <c r="F21" s="3020">
        <v>14.25</v>
      </c>
      <c r="G21" s="3019">
        <f>12+8</f>
        <v>20</v>
      </c>
      <c r="H21" s="3020">
        <v>12</v>
      </c>
      <c r="I21" s="1359">
        <f>C21-D21</f>
        <v>27.825000000000003</v>
      </c>
      <c r="J21" s="2651">
        <f t="shared" si="2"/>
        <v>27.825000000000003</v>
      </c>
      <c r="M21" s="2667" t="s">
        <v>2192</v>
      </c>
      <c r="N21" s="2652">
        <f>C21+C35+C58</f>
        <v>480.47749999999996</v>
      </c>
      <c r="O21" s="2650">
        <f>24.3+4.275+31.05-1.275</f>
        <v>58.35</v>
      </c>
      <c r="P21" s="2650">
        <v>422.1275</v>
      </c>
      <c r="Q21" s="2650">
        <v>0.85499999999999998</v>
      </c>
      <c r="R21" s="2650">
        <f t="shared" si="5"/>
        <v>422.98250000000002</v>
      </c>
      <c r="S21" s="2652">
        <f>D21+D35+D58</f>
        <v>452.65249999999997</v>
      </c>
      <c r="T21" s="2668">
        <f>N21-S21</f>
        <v>27.824999999999989</v>
      </c>
      <c r="U21" s="2668"/>
      <c r="V21" s="3021">
        <f t="shared" si="7"/>
        <v>0</v>
      </c>
      <c r="W21" s="287">
        <f>15.225+12.6</f>
        <v>27.824999999999999</v>
      </c>
    </row>
    <row r="22" spans="1:24" s="36" customFormat="1" ht="15" x14ac:dyDescent="0.25">
      <c r="A22" s="2663">
        <v>10</v>
      </c>
      <c r="B22" s="3018" t="s">
        <v>2320</v>
      </c>
      <c r="C22" s="2664">
        <f>244.88</f>
        <v>244.88</v>
      </c>
      <c r="D22" s="2664">
        <v>230.4</v>
      </c>
      <c r="E22" s="3019"/>
      <c r="F22" s="3020"/>
      <c r="G22" s="3019">
        <v>275</v>
      </c>
      <c r="H22" s="3020">
        <v>230.32</v>
      </c>
      <c r="I22" s="1359"/>
      <c r="J22" s="2651"/>
      <c r="M22" s="2667" t="s">
        <v>2193</v>
      </c>
      <c r="N22" s="2652">
        <f>C22+C36+C40</f>
        <v>516.16999999999996</v>
      </c>
      <c r="O22" s="2650"/>
      <c r="P22" s="2650">
        <v>516.16999999999996</v>
      </c>
      <c r="Q22" s="2650"/>
      <c r="R22" s="2650">
        <f t="shared" si="5"/>
        <v>516.16999999999996</v>
      </c>
      <c r="S22" s="2652">
        <f>D22+D36+D40</f>
        <v>442.24</v>
      </c>
      <c r="T22" s="2668">
        <f t="shared" si="6"/>
        <v>73.92999999999995</v>
      </c>
      <c r="U22" s="2668"/>
      <c r="V22" s="2668">
        <f t="shared" si="7"/>
        <v>73.92999999999995</v>
      </c>
      <c r="W22" s="287"/>
      <c r="X22" s="36">
        <v>73.930000000000007</v>
      </c>
    </row>
    <row r="23" spans="1:24" s="36" customFormat="1" ht="15" x14ac:dyDescent="0.25">
      <c r="A23" s="2663">
        <v>11</v>
      </c>
      <c r="B23" s="3018" t="s">
        <v>2321</v>
      </c>
      <c r="C23" s="2664"/>
      <c r="D23" s="2664"/>
      <c r="E23" s="3019"/>
      <c r="F23" s="3020"/>
      <c r="G23" s="3019"/>
      <c r="H23" s="3020"/>
      <c r="I23" s="1359"/>
      <c r="J23" s="2651"/>
      <c r="M23" s="2667"/>
      <c r="N23" s="2652"/>
      <c r="O23" s="2650"/>
      <c r="P23" s="2650"/>
      <c r="Q23" s="2650"/>
      <c r="R23" s="2650"/>
      <c r="S23" s="2652"/>
      <c r="T23" s="2668"/>
      <c r="U23" s="2668"/>
      <c r="V23" s="2668"/>
      <c r="W23" s="287"/>
      <c r="X23" s="1359">
        <f>V22-X22</f>
        <v>0</v>
      </c>
    </row>
    <row r="24" spans="1:24" s="36" customFormat="1" ht="15" x14ac:dyDescent="0.25">
      <c r="A24" s="2663">
        <v>12</v>
      </c>
      <c r="B24" s="3018" t="s">
        <v>2322</v>
      </c>
      <c r="C24" s="2664">
        <v>58.267960000000002</v>
      </c>
      <c r="D24" s="2664"/>
      <c r="E24" s="3019"/>
      <c r="F24" s="3020"/>
      <c r="G24" s="3019"/>
      <c r="H24" s="3020"/>
      <c r="I24" s="1359"/>
      <c r="J24" s="2651"/>
      <c r="M24" s="2667"/>
      <c r="N24" s="2652"/>
      <c r="O24" s="2650"/>
      <c r="P24" s="2650"/>
      <c r="Q24" s="2650"/>
      <c r="R24" s="2650"/>
      <c r="S24" s="2652"/>
      <c r="T24" s="2668"/>
      <c r="U24" s="2668"/>
      <c r="V24" s="2668"/>
      <c r="W24" s="287"/>
    </row>
    <row r="25" spans="1:24" s="36" customFormat="1" ht="15" x14ac:dyDescent="0.25">
      <c r="A25" s="3006" t="s">
        <v>4</v>
      </c>
      <c r="B25" s="3025" t="s">
        <v>2194</v>
      </c>
      <c r="C25" s="3013">
        <f t="shared" ref="C25:H25" si="8">C26+C38</f>
        <v>8508.8510000000006</v>
      </c>
      <c r="D25" s="3013">
        <f t="shared" si="8"/>
        <v>8428.9889999999996</v>
      </c>
      <c r="E25" s="3010">
        <f t="shared" si="8"/>
        <v>1248</v>
      </c>
      <c r="F25" s="3011">
        <f t="shared" si="8"/>
        <v>3541.9940000000001</v>
      </c>
      <c r="G25" s="3010">
        <f t="shared" si="8"/>
        <v>4830</v>
      </c>
      <c r="H25" s="3011">
        <f t="shared" si="8"/>
        <v>4886.9949999999999</v>
      </c>
      <c r="I25" s="1791">
        <f>C25-D25</f>
        <v>79.86200000000099</v>
      </c>
      <c r="M25" s="2655" t="s">
        <v>586</v>
      </c>
      <c r="N25" s="2656">
        <f>SUM(N13:N22)</f>
        <v>5807.7285000000002</v>
      </c>
      <c r="O25" s="3026">
        <f t="shared" ref="O25:W25" si="9">SUM(O13:O22)</f>
        <v>396.72900000000004</v>
      </c>
      <c r="P25" s="2656">
        <f t="shared" si="9"/>
        <v>5411</v>
      </c>
      <c r="Q25" s="3027">
        <f t="shared" si="9"/>
        <v>58.267960000000002</v>
      </c>
      <c r="R25" s="2656">
        <f t="shared" si="9"/>
        <v>5469.2679600000001</v>
      </c>
      <c r="S25" s="2656">
        <f t="shared" si="9"/>
        <v>5665.7614999999996</v>
      </c>
      <c r="T25" s="2656">
        <f t="shared" si="9"/>
        <v>141.96700000000004</v>
      </c>
      <c r="U25" s="2656">
        <f t="shared" si="9"/>
        <v>0.25900000000000001</v>
      </c>
      <c r="V25" s="3027">
        <f>SUM(V13:V22)</f>
        <v>74.189000000000064</v>
      </c>
      <c r="W25" s="3028">
        <f t="shared" si="9"/>
        <v>67.778000000000006</v>
      </c>
    </row>
    <row r="26" spans="1:24" s="36" customFormat="1" ht="15" x14ac:dyDescent="0.25">
      <c r="A26" s="3006" t="s">
        <v>5</v>
      </c>
      <c r="B26" s="3017" t="s">
        <v>2195</v>
      </c>
      <c r="C26" s="3013">
        <f>SUM(C27:C37)</f>
        <v>8488.3525000000009</v>
      </c>
      <c r="D26" s="3013">
        <f>SUM(D27:D37)</f>
        <v>8408.4904999999999</v>
      </c>
      <c r="E26" s="3013">
        <f t="shared" ref="E26:H26" si="10">SUM(E27:E37)</f>
        <v>1223</v>
      </c>
      <c r="F26" s="3013">
        <f t="shared" si="10"/>
        <v>3521.4955</v>
      </c>
      <c r="G26" s="3013">
        <f t="shared" si="10"/>
        <v>4830</v>
      </c>
      <c r="H26" s="3013">
        <f t="shared" si="10"/>
        <v>4886.9949999999999</v>
      </c>
      <c r="I26" s="1359"/>
      <c r="M26" s="168"/>
      <c r="N26" s="310"/>
      <c r="O26" s="310"/>
      <c r="P26" s="310"/>
      <c r="Q26" s="310"/>
      <c r="R26" s="310"/>
    </row>
    <row r="27" spans="1:24" s="36" customFormat="1" ht="15" x14ac:dyDescent="0.25">
      <c r="A27" s="2663">
        <v>1</v>
      </c>
      <c r="B27" s="3018" t="s">
        <v>2184</v>
      </c>
      <c r="C27" s="2664">
        <f>86.435</f>
        <v>86.435000000000002</v>
      </c>
      <c r="D27" s="2664">
        <f>+F27+H27</f>
        <v>86.435000000000002</v>
      </c>
      <c r="E27" s="3029">
        <v>48</v>
      </c>
      <c r="F27" s="3030">
        <v>5.52</v>
      </c>
      <c r="G27" s="3029">
        <v>88</v>
      </c>
      <c r="H27" s="3030">
        <v>80.915000000000006</v>
      </c>
      <c r="I27" s="1359">
        <f>C27-D27</f>
        <v>0</v>
      </c>
      <c r="J27" s="1359">
        <f>F27+H27+F53</f>
        <v>86.55</v>
      </c>
      <c r="K27" s="1359"/>
      <c r="M27" s="168"/>
      <c r="N27" s="2657">
        <f>C10-N25</f>
        <v>3241.870460000001</v>
      </c>
      <c r="O27" s="2532">
        <f>O25+Q25</f>
        <v>454.99696000000006</v>
      </c>
      <c r="P27" s="2532">
        <f>N25-P25</f>
        <v>396.72850000000017</v>
      </c>
      <c r="Q27" s="310"/>
      <c r="R27" s="310"/>
      <c r="S27" s="1359">
        <f>D10-S25</f>
        <v>3183.6025</v>
      </c>
      <c r="V27" s="501">
        <f>V22+U25</f>
        <v>74.18899999999995</v>
      </c>
    </row>
    <row r="28" spans="1:24" s="36" customFormat="1" ht="15" x14ac:dyDescent="0.25">
      <c r="A28" s="2663">
        <v>2</v>
      </c>
      <c r="B28" s="3018" t="s">
        <v>2185</v>
      </c>
      <c r="C28" s="2664">
        <f>134.969-0.29</f>
        <v>134.679</v>
      </c>
      <c r="D28" s="2664">
        <f t="shared" ref="D28:D35" si="11">+F28+H28</f>
        <v>124.64699999999999</v>
      </c>
      <c r="E28" s="3029">
        <v>41</v>
      </c>
      <c r="F28" s="3030">
        <v>8.4870000000000001</v>
      </c>
      <c r="G28" s="3029">
        <v>121</v>
      </c>
      <c r="H28" s="3030">
        <f>'[8]Miễn giảm HP NĐ81'!AX12</f>
        <v>116.16</v>
      </c>
      <c r="I28" s="1359">
        <f t="shared" ref="I28:I35" si="12">C28-D28</f>
        <v>10.032000000000011</v>
      </c>
      <c r="J28" s="1359">
        <f>F28+H28+F41</f>
        <v>124.937</v>
      </c>
      <c r="M28" s="168"/>
      <c r="N28" s="310"/>
      <c r="O28" s="310"/>
      <c r="P28" s="310"/>
      <c r="Q28" s="310"/>
      <c r="R28" s="310"/>
      <c r="S28" s="1359">
        <f>S25-O25</f>
        <v>5269.0324999999993</v>
      </c>
      <c r="V28" s="36">
        <v>74.188299999999799</v>
      </c>
    </row>
    <row r="29" spans="1:24" s="36" customFormat="1" ht="15" x14ac:dyDescent="0.25">
      <c r="A29" s="2663">
        <v>3</v>
      </c>
      <c r="B29" s="3018" t="s">
        <v>2186</v>
      </c>
      <c r="C29" s="2664">
        <f>400.404</f>
        <v>400.404</v>
      </c>
      <c r="D29" s="2664">
        <f t="shared" si="11"/>
        <v>400.404</v>
      </c>
      <c r="E29" s="3029">
        <v>179</v>
      </c>
      <c r="F29" s="3030">
        <f>'[8]Miễn giảm HP NĐ81'!P13</f>
        <v>64.403999999999996</v>
      </c>
      <c r="G29" s="3029">
        <v>350</v>
      </c>
      <c r="H29" s="3030">
        <f>'[8]Miễn giảm HP NĐ81'!AX13</f>
        <v>336</v>
      </c>
      <c r="I29" s="1359">
        <f t="shared" si="12"/>
        <v>0</v>
      </c>
      <c r="J29" s="1359">
        <f>F29+H29+F54</f>
        <v>400.584</v>
      </c>
      <c r="M29" s="168"/>
      <c r="N29" s="310"/>
      <c r="O29" s="310"/>
      <c r="P29" s="310"/>
      <c r="Q29" s="310"/>
      <c r="R29" s="310"/>
      <c r="S29" s="1359">
        <f>S28-Q25</f>
        <v>5210.7645399999992</v>
      </c>
      <c r="V29" s="501">
        <f>V27-V28</f>
        <v>7.0000000015113528E-4</v>
      </c>
    </row>
    <row r="30" spans="1:24" s="36" customFormat="1" ht="15" x14ac:dyDescent="0.25">
      <c r="A30" s="2663">
        <v>4</v>
      </c>
      <c r="B30" s="3018" t="s">
        <v>2187</v>
      </c>
      <c r="C30" s="2664">
        <f>405.267-0.36</f>
        <v>404.90699999999998</v>
      </c>
      <c r="D30" s="2664">
        <f t="shared" si="11"/>
        <v>404.80799999999999</v>
      </c>
      <c r="E30" s="3029">
        <f>'[8]Miễn giảm HP NĐ81'!E14</f>
        <v>154</v>
      </c>
      <c r="F30" s="3030">
        <f>'[8]Miễn giảm HP NĐ81'!P14</f>
        <v>55.368000000000002</v>
      </c>
      <c r="G30" s="3029">
        <f>'[8]Miễn giảm HP NĐ81'!AC14</f>
        <v>364</v>
      </c>
      <c r="H30" s="3030">
        <f>'[8]Miễn giảm HP NĐ81'!AX14</f>
        <v>349.44</v>
      </c>
      <c r="I30" s="1359">
        <f t="shared" si="12"/>
        <v>9.8999999999989541E-2</v>
      </c>
      <c r="J30" s="1359">
        <f>F30+H30+F55</f>
        <v>405.16800000000001</v>
      </c>
      <c r="M30" s="168"/>
      <c r="N30" s="310"/>
      <c r="O30" s="310"/>
      <c r="P30" s="310"/>
      <c r="Q30" s="310"/>
      <c r="R30" s="310"/>
      <c r="S30" s="1359"/>
      <c r="T30" s="36">
        <v>3625.78</v>
      </c>
    </row>
    <row r="31" spans="1:24" s="36" customFormat="1" ht="15" x14ac:dyDescent="0.25">
      <c r="A31" s="2663">
        <v>5</v>
      </c>
      <c r="B31" s="3018" t="s">
        <v>2188</v>
      </c>
      <c r="C31" s="2664">
        <v>707.52</v>
      </c>
      <c r="D31" s="2664">
        <f t="shared" si="11"/>
        <v>707.52</v>
      </c>
      <c r="E31" s="3031"/>
      <c r="F31" s="3030"/>
      <c r="G31" s="3029">
        <v>737</v>
      </c>
      <c r="H31" s="3030">
        <v>707.52</v>
      </c>
      <c r="I31" s="1359">
        <f t="shared" si="12"/>
        <v>0</v>
      </c>
      <c r="J31" s="1359">
        <f>F31+H31</f>
        <v>707.52</v>
      </c>
      <c r="M31" s="168"/>
      <c r="N31" s="310"/>
      <c r="O31" s="310"/>
      <c r="P31" s="310"/>
      <c r="Q31" s="310"/>
      <c r="R31" s="310"/>
      <c r="T31" s="1359">
        <f>S25+T30</f>
        <v>9291.5414999999994</v>
      </c>
    </row>
    <row r="32" spans="1:24" s="36" customFormat="1" ht="15" x14ac:dyDescent="0.25">
      <c r="A32" s="2663">
        <v>6</v>
      </c>
      <c r="B32" s="3018" t="s">
        <v>2189</v>
      </c>
      <c r="C32" s="2664">
        <v>849.6</v>
      </c>
      <c r="D32" s="2664">
        <f t="shared" si="11"/>
        <v>849.6</v>
      </c>
      <c r="E32" s="3031"/>
      <c r="F32" s="3030"/>
      <c r="G32" s="3029">
        <f>'[8]Miễn giảm HP NĐ81'!AC16</f>
        <v>885</v>
      </c>
      <c r="H32" s="3030">
        <f>'[8]Miễn giảm HP NĐ81'!AY16</f>
        <v>849.6</v>
      </c>
      <c r="I32" s="1359">
        <f t="shared" si="12"/>
        <v>0</v>
      </c>
      <c r="J32" s="1359">
        <f>F32+H32+F56</f>
        <v>849.78600000000006</v>
      </c>
      <c r="M32" s="168"/>
      <c r="N32" s="310"/>
      <c r="O32" s="310"/>
      <c r="P32" s="310"/>
      <c r="Q32" s="310"/>
      <c r="R32" s="310"/>
      <c r="T32" s="1359">
        <f>T31-D10</f>
        <v>442.17749999999978</v>
      </c>
    </row>
    <row r="33" spans="1:18" s="36" customFormat="1" ht="15" x14ac:dyDescent="0.25">
      <c r="A33" s="2663">
        <v>7</v>
      </c>
      <c r="B33" s="3018" t="s">
        <v>2190</v>
      </c>
      <c r="C33" s="2664">
        <f>473.841-0.186</f>
        <v>473.65500000000003</v>
      </c>
      <c r="D33" s="2664">
        <f t="shared" si="11"/>
        <v>463.37399999999997</v>
      </c>
      <c r="E33" s="3029">
        <f>'[8]Miễn giảm HP NĐ81'!E17</f>
        <v>19</v>
      </c>
      <c r="F33" s="3030">
        <f>'[8]Miễn giảm HP NĐ81'!P17</f>
        <v>3.5339999999999998</v>
      </c>
      <c r="G33" s="3029">
        <f>'[8]Miễn giảm HP NĐ81'!AC17</f>
        <v>479</v>
      </c>
      <c r="H33" s="3030">
        <f>'[8]Miễn giảm HP NĐ81'!AX17</f>
        <v>459.84</v>
      </c>
      <c r="I33" s="1359">
        <f t="shared" si="12"/>
        <v>10.281000000000063</v>
      </c>
      <c r="J33" s="1359">
        <f>F33+H33+F56</f>
        <v>463.55999999999995</v>
      </c>
      <c r="M33" s="168"/>
      <c r="N33" s="310"/>
      <c r="O33" s="310"/>
      <c r="P33" s="310"/>
      <c r="Q33" s="310"/>
      <c r="R33" s="310"/>
    </row>
    <row r="34" spans="1:18" s="36" customFormat="1" ht="15" x14ac:dyDescent="0.25">
      <c r="A34" s="2663">
        <v>8</v>
      </c>
      <c r="B34" s="3018" t="s">
        <v>2191</v>
      </c>
      <c r="C34" s="2664">
        <f>1568.25</f>
        <v>1568.25</v>
      </c>
      <c r="D34" s="2664">
        <f t="shared" si="11"/>
        <v>1568.25</v>
      </c>
      <c r="E34" s="3029">
        <f>'[8]Miễn giảm HP NĐ81'!E18</f>
        <v>18</v>
      </c>
      <c r="F34" s="3030">
        <f>'[8]Miễn giảm HP NĐ81'!P18</f>
        <v>5.85</v>
      </c>
      <c r="G34" s="3029">
        <f>'[8]Miễn giảm HP NĐ81'!AC18</f>
        <v>1395</v>
      </c>
      <c r="H34" s="3030">
        <f>'[8]Miễn giảm HP NĐ81'!AN18</f>
        <v>1562.4</v>
      </c>
      <c r="I34" s="1359">
        <f t="shared" si="12"/>
        <v>0</v>
      </c>
      <c r="J34" s="1359">
        <f>F34+H34+F57</f>
        <v>1569.2249999999999</v>
      </c>
      <c r="M34" s="168"/>
      <c r="N34" s="310"/>
      <c r="O34" s="310"/>
      <c r="P34" s="310"/>
      <c r="Q34" s="310"/>
      <c r="R34" s="310"/>
    </row>
    <row r="35" spans="1:18" s="36" customFormat="1" ht="15" x14ac:dyDescent="0.25">
      <c r="A35" s="2663">
        <v>9</v>
      </c>
      <c r="B35" s="3018" t="s">
        <v>2192</v>
      </c>
      <c r="C35" s="2664">
        <f>426.07</f>
        <v>426.07</v>
      </c>
      <c r="D35" s="2664">
        <f t="shared" si="11"/>
        <v>426.07</v>
      </c>
      <c r="E35" s="3029">
        <v>10</v>
      </c>
      <c r="F35" s="3030">
        <v>0.95</v>
      </c>
      <c r="G35" s="3029">
        <v>411</v>
      </c>
      <c r="H35" s="3030">
        <v>425.12</v>
      </c>
      <c r="I35" s="1359">
        <f t="shared" si="12"/>
        <v>0</v>
      </c>
      <c r="J35" s="1359">
        <f>F35+H35+F58</f>
        <v>426.40249999999997</v>
      </c>
      <c r="M35" s="168"/>
      <c r="N35" s="310"/>
      <c r="O35" s="310"/>
      <c r="P35" s="310"/>
      <c r="Q35" s="310"/>
      <c r="R35" s="310"/>
    </row>
    <row r="36" spans="1:18" s="36" customFormat="1" ht="15" x14ac:dyDescent="0.25">
      <c r="A36" s="2663">
        <v>10</v>
      </c>
      <c r="B36" s="3018" t="s">
        <v>2320</v>
      </c>
      <c r="C36" s="2664">
        <f>271.29-18.06</f>
        <v>253.23000000000002</v>
      </c>
      <c r="D36" s="2664">
        <f>8.5+185.2175+0.0625</f>
        <v>193.78</v>
      </c>
      <c r="E36" s="3029">
        <v>40</v>
      </c>
      <c r="F36" s="3030">
        <f>D36</f>
        <v>193.78</v>
      </c>
      <c r="G36" s="3029"/>
      <c r="H36" s="3030"/>
      <c r="I36" s="1359"/>
      <c r="M36" s="168"/>
      <c r="N36" s="310"/>
      <c r="O36" s="310"/>
      <c r="P36" s="310"/>
      <c r="Q36" s="310"/>
      <c r="R36" s="310"/>
    </row>
    <row r="37" spans="1:18" s="36" customFormat="1" ht="15" x14ac:dyDescent="0.25">
      <c r="A37" s="2663">
        <v>11</v>
      </c>
      <c r="B37" s="3018" t="s">
        <v>2321</v>
      </c>
      <c r="C37" s="2664">
        <f>1361.582+1822.0205</f>
        <v>3183.6025</v>
      </c>
      <c r="D37" s="3032">
        <f>1361.582+1822.0205</f>
        <v>3183.6025</v>
      </c>
      <c r="E37" s="3029">
        <v>714</v>
      </c>
      <c r="F37" s="3030">
        <f>D37</f>
        <v>3183.6025</v>
      </c>
      <c r="G37" s="3029"/>
      <c r="H37" s="3030"/>
      <c r="I37" s="1359"/>
      <c r="M37" s="168"/>
      <c r="N37" s="310"/>
      <c r="O37" s="310"/>
      <c r="P37" s="310"/>
      <c r="Q37" s="310"/>
      <c r="R37" s="310"/>
    </row>
    <row r="38" spans="1:18" s="36" customFormat="1" ht="15" x14ac:dyDescent="0.25">
      <c r="A38" s="3006" t="s">
        <v>11</v>
      </c>
      <c r="B38" s="3017" t="s">
        <v>2196</v>
      </c>
      <c r="C38" s="3011">
        <f t="shared" ref="C38:H38" si="13">C39+C52</f>
        <v>20.498499999999996</v>
      </c>
      <c r="D38" s="3011">
        <f t="shared" si="13"/>
        <v>20.498499999999996</v>
      </c>
      <c r="E38" s="3010">
        <f t="shared" si="13"/>
        <v>25</v>
      </c>
      <c r="F38" s="3011">
        <f t="shared" si="13"/>
        <v>20.498499999999996</v>
      </c>
      <c r="G38" s="3014">
        <f t="shared" si="13"/>
        <v>0</v>
      </c>
      <c r="H38" s="3014">
        <f t="shared" si="13"/>
        <v>0</v>
      </c>
      <c r="M38" s="168"/>
      <c r="N38" s="310"/>
      <c r="O38" s="310"/>
      <c r="P38" s="310"/>
      <c r="Q38" s="310"/>
      <c r="R38" s="310"/>
    </row>
    <row r="39" spans="1:18" s="36" customFormat="1" ht="15" x14ac:dyDescent="0.25">
      <c r="A39" s="3006" t="s">
        <v>1453</v>
      </c>
      <c r="B39" s="3017" t="s">
        <v>2197</v>
      </c>
      <c r="C39" s="3011">
        <f>C41+C40</f>
        <v>18.349999999999998</v>
      </c>
      <c r="D39" s="3011">
        <f>D41+D40</f>
        <v>18.349999999999998</v>
      </c>
      <c r="E39" s="3011">
        <f>E41+E40</f>
        <v>5</v>
      </c>
      <c r="F39" s="3011">
        <f>F41+F40</f>
        <v>18.349999999999998</v>
      </c>
      <c r="G39" s="3015">
        <f>SUM(G41:G51)</f>
        <v>0</v>
      </c>
      <c r="H39" s="3033">
        <f>SUM(H41:H51)</f>
        <v>0</v>
      </c>
      <c r="M39" s="168"/>
      <c r="N39" s="310"/>
      <c r="O39" s="310"/>
      <c r="P39" s="310"/>
      <c r="Q39" s="310"/>
      <c r="R39" s="310"/>
    </row>
    <row r="40" spans="1:18" s="36" customFormat="1" ht="15" x14ac:dyDescent="0.25">
      <c r="A40" s="2663">
        <v>1</v>
      </c>
      <c r="B40" s="3018" t="s">
        <v>2320</v>
      </c>
      <c r="C40" s="3030">
        <v>18.059999999999999</v>
      </c>
      <c r="D40" s="3030">
        <v>18.059999999999999</v>
      </c>
      <c r="E40" s="3019">
        <v>3</v>
      </c>
      <c r="F40" s="3020">
        <v>18.059999999999999</v>
      </c>
      <c r="G40" s="3019"/>
      <c r="H40" s="3034"/>
      <c r="M40" s="168"/>
      <c r="N40" s="310"/>
      <c r="O40" s="310"/>
      <c r="P40" s="310"/>
      <c r="Q40" s="310"/>
      <c r="R40" s="310"/>
    </row>
    <row r="41" spans="1:18" s="36" customFormat="1" ht="15" x14ac:dyDescent="0.25">
      <c r="A41" s="2663">
        <v>2</v>
      </c>
      <c r="B41" s="3018" t="s">
        <v>2185</v>
      </c>
      <c r="C41" s="3035">
        <v>0.28999999999999998</v>
      </c>
      <c r="D41" s="3030">
        <f>F41+H41</f>
        <v>0.28999999999999998</v>
      </c>
      <c r="E41" s="3036">
        <v>2</v>
      </c>
      <c r="F41" s="3035">
        <v>0.28999999999999998</v>
      </c>
      <c r="G41" s="3019"/>
      <c r="H41" s="3034"/>
      <c r="M41" s="168"/>
      <c r="N41" s="310"/>
      <c r="O41" s="310"/>
      <c r="P41" s="310"/>
      <c r="Q41" s="310"/>
      <c r="R41" s="310"/>
    </row>
    <row r="42" spans="1:18" s="36" customFormat="1" ht="15" hidden="1" x14ac:dyDescent="0.25">
      <c r="A42" s="2663"/>
      <c r="B42" s="3018"/>
      <c r="C42" s="2664"/>
      <c r="D42" s="3030"/>
      <c r="E42" s="3036"/>
      <c r="F42" s="3035"/>
      <c r="G42" s="3019"/>
      <c r="H42" s="3034"/>
      <c r="M42" s="168"/>
      <c r="N42" s="310"/>
      <c r="O42" s="310"/>
      <c r="P42" s="310"/>
      <c r="Q42" s="310"/>
      <c r="R42" s="310"/>
    </row>
    <row r="43" spans="1:18" s="36" customFormat="1" ht="15" hidden="1" x14ac:dyDescent="0.25">
      <c r="A43" s="2663"/>
      <c r="B43" s="3018"/>
      <c r="C43" s="2664"/>
      <c r="D43" s="3030"/>
      <c r="E43" s="3036"/>
      <c r="F43" s="3035"/>
      <c r="G43" s="3019"/>
      <c r="H43" s="3034"/>
      <c r="M43" s="168"/>
      <c r="N43" s="310"/>
      <c r="O43" s="310"/>
      <c r="P43" s="310"/>
      <c r="Q43" s="310"/>
      <c r="R43" s="310"/>
    </row>
    <row r="44" spans="1:18" s="36" customFormat="1" ht="15" hidden="1" x14ac:dyDescent="0.25">
      <c r="A44" s="2663"/>
      <c r="B44" s="3018"/>
      <c r="C44" s="2664"/>
      <c r="D44" s="3030"/>
      <c r="E44" s="3019"/>
      <c r="F44" s="3020"/>
      <c r="G44" s="3019"/>
      <c r="H44" s="3034"/>
      <c r="M44" s="168"/>
      <c r="N44" s="310"/>
      <c r="O44" s="310"/>
      <c r="P44" s="310"/>
      <c r="Q44" s="310"/>
      <c r="R44" s="310"/>
    </row>
    <row r="45" spans="1:18" s="36" customFormat="1" ht="15" hidden="1" x14ac:dyDescent="0.25">
      <c r="A45" s="2663"/>
      <c r="B45" s="3018"/>
      <c r="C45" s="2664"/>
      <c r="D45" s="3030"/>
      <c r="E45" s="3019"/>
      <c r="F45" s="3020"/>
      <c r="G45" s="3019"/>
      <c r="H45" s="3034"/>
      <c r="M45" s="168"/>
      <c r="N45" s="310"/>
      <c r="O45" s="310"/>
      <c r="P45" s="310"/>
      <c r="Q45" s="310"/>
      <c r="R45" s="310"/>
    </row>
    <row r="46" spans="1:18" s="36" customFormat="1" ht="15" hidden="1" x14ac:dyDescent="0.25">
      <c r="A46" s="2663"/>
      <c r="B46" s="3018"/>
      <c r="C46" s="2664"/>
      <c r="D46" s="3030"/>
      <c r="E46" s="3019"/>
      <c r="F46" s="3020"/>
      <c r="G46" s="3019"/>
      <c r="H46" s="3034"/>
      <c r="M46" s="168"/>
      <c r="N46" s="310"/>
      <c r="O46" s="310"/>
      <c r="P46" s="310"/>
      <c r="Q46" s="310"/>
      <c r="R46" s="310"/>
    </row>
    <row r="47" spans="1:18" s="36" customFormat="1" ht="15" hidden="1" x14ac:dyDescent="0.25">
      <c r="A47" s="2663"/>
      <c r="B47" s="3018"/>
      <c r="C47" s="2664"/>
      <c r="D47" s="3030"/>
      <c r="E47" s="3019"/>
      <c r="F47" s="3020"/>
      <c r="G47" s="3019"/>
      <c r="H47" s="3034"/>
      <c r="M47" s="168"/>
      <c r="N47" s="310"/>
      <c r="O47" s="310"/>
      <c r="P47" s="310"/>
      <c r="Q47" s="310"/>
      <c r="R47" s="310"/>
    </row>
    <row r="48" spans="1:18" s="36" customFormat="1" ht="15" hidden="1" x14ac:dyDescent="0.25">
      <c r="A48" s="2663"/>
      <c r="B48" s="3018"/>
      <c r="C48" s="2664"/>
      <c r="D48" s="3030"/>
      <c r="E48" s="3019"/>
      <c r="F48" s="3020"/>
      <c r="G48" s="3019"/>
      <c r="H48" s="3034"/>
      <c r="M48" s="168"/>
      <c r="N48" s="310"/>
      <c r="O48" s="310"/>
      <c r="P48" s="310"/>
      <c r="Q48" s="310"/>
      <c r="R48" s="310"/>
    </row>
    <row r="49" spans="1:18" s="36" customFormat="1" ht="15" hidden="1" x14ac:dyDescent="0.25">
      <c r="A49" s="2663"/>
      <c r="B49" s="3018"/>
      <c r="C49" s="2664"/>
      <c r="D49" s="3030"/>
      <c r="E49" s="3019"/>
      <c r="F49" s="3020"/>
      <c r="G49" s="3019"/>
      <c r="H49" s="3034"/>
      <c r="M49" s="168"/>
      <c r="N49" s="310"/>
      <c r="O49" s="310"/>
      <c r="P49" s="310"/>
      <c r="Q49" s="310"/>
      <c r="R49" s="310"/>
    </row>
    <row r="50" spans="1:18" s="36" customFormat="1" ht="15" hidden="1" x14ac:dyDescent="0.25">
      <c r="A50" s="2663"/>
      <c r="B50" s="3018"/>
      <c r="C50" s="2664"/>
      <c r="D50" s="3030"/>
      <c r="E50" s="3019"/>
      <c r="F50" s="3020"/>
      <c r="G50" s="3019"/>
      <c r="H50" s="3034"/>
      <c r="M50" s="168"/>
      <c r="N50" s="310"/>
      <c r="O50" s="310"/>
      <c r="P50" s="310"/>
      <c r="Q50" s="310"/>
      <c r="R50" s="310"/>
    </row>
    <row r="51" spans="1:18" s="36" customFormat="1" ht="15" hidden="1" x14ac:dyDescent="0.25">
      <c r="A51" s="2663"/>
      <c r="B51" s="3018"/>
      <c r="C51" s="2664"/>
      <c r="D51" s="3030"/>
      <c r="E51" s="3019"/>
      <c r="F51" s="3020"/>
      <c r="G51" s="3019"/>
      <c r="H51" s="3034"/>
      <c r="M51" s="168"/>
      <c r="N51" s="310"/>
      <c r="O51" s="310"/>
      <c r="P51" s="310"/>
      <c r="Q51" s="310"/>
      <c r="R51" s="310"/>
    </row>
    <row r="52" spans="1:18" s="36" customFormat="1" ht="15" x14ac:dyDescent="0.25">
      <c r="A52" s="3006" t="s">
        <v>1458</v>
      </c>
      <c r="B52" s="3017" t="s">
        <v>2198</v>
      </c>
      <c r="C52" s="3011">
        <f>SUM(C53:C58)</f>
        <v>2.1484999999999999</v>
      </c>
      <c r="D52" s="3011">
        <f>SUM(D53:D58)</f>
        <v>2.1484999999999999</v>
      </c>
      <c r="E52" s="3010">
        <f>SUM(E53:E58)</f>
        <v>20</v>
      </c>
      <c r="F52" s="3011">
        <f>SUM(F53:F58)</f>
        <v>2.1484999999999999</v>
      </c>
      <c r="G52" s="3015">
        <f>SUM(G53:G57)</f>
        <v>0</v>
      </c>
      <c r="H52" s="3015">
        <f>SUM(H53:H57)</f>
        <v>0</v>
      </c>
      <c r="M52" s="168"/>
      <c r="N52" s="310"/>
      <c r="O52" s="310"/>
      <c r="P52" s="310"/>
      <c r="Q52" s="310"/>
      <c r="R52" s="310"/>
    </row>
    <row r="53" spans="1:18" s="36" customFormat="1" ht="15" x14ac:dyDescent="0.25">
      <c r="A53" s="2663">
        <v>1</v>
      </c>
      <c r="B53" s="3018" t="s">
        <v>2184</v>
      </c>
      <c r="C53" s="3037">
        <v>0.115</v>
      </c>
      <c r="D53" s="3037">
        <f t="shared" ref="D53:D58" si="14">F53</f>
        <v>0.115</v>
      </c>
      <c r="E53" s="3036">
        <v>2</v>
      </c>
      <c r="F53" s="3035">
        <v>0.115</v>
      </c>
      <c r="G53" s="3019"/>
      <c r="H53" s="3034"/>
      <c r="M53" s="168"/>
      <c r="N53" s="310"/>
      <c r="O53" s="310"/>
      <c r="P53" s="310"/>
      <c r="Q53" s="310"/>
      <c r="R53" s="310"/>
    </row>
    <row r="54" spans="1:18" s="36" customFormat="1" ht="15" x14ac:dyDescent="0.25">
      <c r="A54" s="2663">
        <v>2</v>
      </c>
      <c r="B54" s="3018" t="s">
        <v>2186</v>
      </c>
      <c r="C54" s="3037">
        <v>0.18</v>
      </c>
      <c r="D54" s="3037">
        <f t="shared" si="14"/>
        <v>0.18</v>
      </c>
      <c r="E54" s="3036">
        <v>1</v>
      </c>
      <c r="F54" s="3035">
        <v>0.18</v>
      </c>
      <c r="G54" s="3019"/>
      <c r="H54" s="3034"/>
      <c r="M54" s="168"/>
      <c r="N54" s="310"/>
      <c r="O54" s="310"/>
      <c r="P54" s="310"/>
      <c r="Q54" s="310"/>
      <c r="R54" s="310"/>
    </row>
    <row r="55" spans="1:18" s="36" customFormat="1" ht="15" x14ac:dyDescent="0.25">
      <c r="A55" s="2663">
        <v>3</v>
      </c>
      <c r="B55" s="3018" t="s">
        <v>2187</v>
      </c>
      <c r="C55" s="2664">
        <v>0.36</v>
      </c>
      <c r="D55" s="3030">
        <f t="shared" si="14"/>
        <v>0.36</v>
      </c>
      <c r="E55" s="3036">
        <v>2</v>
      </c>
      <c r="F55" s="3035">
        <v>0.36</v>
      </c>
      <c r="G55" s="3019"/>
      <c r="H55" s="3034"/>
      <c r="M55" s="168"/>
      <c r="N55" s="310"/>
      <c r="O55" s="310"/>
      <c r="P55" s="310"/>
      <c r="Q55" s="310"/>
      <c r="R55" s="310"/>
    </row>
    <row r="56" spans="1:18" s="36" customFormat="1" ht="15" x14ac:dyDescent="0.25">
      <c r="A56" s="2663">
        <v>4</v>
      </c>
      <c r="B56" s="3018" t="s">
        <v>2190</v>
      </c>
      <c r="C56" s="3035">
        <v>0.186</v>
      </c>
      <c r="D56" s="3030">
        <f t="shared" si="14"/>
        <v>0.186</v>
      </c>
      <c r="E56" s="3036">
        <v>2</v>
      </c>
      <c r="F56" s="3035">
        <v>0.186</v>
      </c>
      <c r="G56" s="3019"/>
      <c r="H56" s="3034"/>
      <c r="M56" s="168"/>
      <c r="N56" s="310"/>
      <c r="O56" s="310"/>
      <c r="P56" s="310"/>
      <c r="Q56" s="310"/>
      <c r="R56" s="310"/>
    </row>
    <row r="57" spans="1:18" s="36" customFormat="1" ht="15" x14ac:dyDescent="0.25">
      <c r="A57" s="2663">
        <v>5</v>
      </c>
      <c r="B57" s="3018" t="s">
        <v>2191</v>
      </c>
      <c r="C57" s="3020">
        <v>0.97499999999999998</v>
      </c>
      <c r="D57" s="3030">
        <f t="shared" si="14"/>
        <v>0.97499999999999998</v>
      </c>
      <c r="E57" s="3019">
        <v>6</v>
      </c>
      <c r="F57" s="3020">
        <v>0.97499999999999998</v>
      </c>
      <c r="G57" s="3019"/>
      <c r="H57" s="3034"/>
      <c r="M57" s="168"/>
      <c r="N57" s="310"/>
      <c r="O57" s="310"/>
      <c r="P57" s="310"/>
      <c r="Q57" s="310"/>
      <c r="R57" s="310"/>
    </row>
    <row r="58" spans="1:18" s="36" customFormat="1" ht="15" x14ac:dyDescent="0.25">
      <c r="A58" s="285">
        <v>6</v>
      </c>
      <c r="B58" s="3018" t="s">
        <v>2192</v>
      </c>
      <c r="C58" s="3038">
        <v>0.33250000000000002</v>
      </c>
      <c r="D58" s="3030">
        <f t="shared" si="14"/>
        <v>0.33250000000000002</v>
      </c>
      <c r="E58" s="287">
        <v>7</v>
      </c>
      <c r="F58" s="2668">
        <v>0.33250000000000002</v>
      </c>
      <c r="G58" s="287"/>
      <c r="H58" s="287"/>
      <c r="M58" s="168"/>
      <c r="N58" s="310"/>
      <c r="O58" s="310"/>
      <c r="P58" s="310"/>
      <c r="Q58" s="310"/>
      <c r="R58" s="310"/>
    </row>
    <row r="59" spans="1:18" s="36" customFormat="1" ht="15" x14ac:dyDescent="0.25">
      <c r="A59" s="587"/>
      <c r="B59" s="2669"/>
      <c r="C59" s="2658"/>
      <c r="D59" s="2670"/>
      <c r="M59" s="168"/>
      <c r="N59" s="310"/>
      <c r="O59" s="310"/>
      <c r="P59" s="310"/>
      <c r="Q59" s="310"/>
      <c r="R59" s="310"/>
    </row>
  </sheetData>
  <mergeCells count="13">
    <mergeCell ref="A3:H3"/>
    <mergeCell ref="A4:H4"/>
    <mergeCell ref="A6:A8"/>
    <mergeCell ref="B6:B8"/>
    <mergeCell ref="C6:C8"/>
    <mergeCell ref="D6:D8"/>
    <mergeCell ref="E6:F7"/>
    <mergeCell ref="G6:H7"/>
    <mergeCell ref="W10:W12"/>
    <mergeCell ref="T10:U10"/>
    <mergeCell ref="V10:V12"/>
    <mergeCell ref="N10:R10"/>
    <mergeCell ref="S10:S12"/>
  </mergeCells>
  <pageMargins left="0.7" right="0.7" top="0.75" bottom="0.75" header="0.3" footer="0.3"/>
  <pageSetup paperSize="9" scale="93" orientation="portrait" verticalDpi="0" r:id="rId1"/>
  <legacy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9859E-5E2E-47A7-BCAF-14B0EE7F7A5E}">
  <sheetPr>
    <tabColor theme="3" tint="0.39997558519241921"/>
  </sheetPr>
  <dimension ref="A1:H38"/>
  <sheetViews>
    <sheetView view="pageBreakPreview" topLeftCell="A4" zoomScale="90" zoomScaleNormal="100" zoomScaleSheetLayoutView="90" workbookViewId="0">
      <selection activeCell="C32" sqref="C32:F32"/>
    </sheetView>
  </sheetViews>
  <sheetFormatPr defaultRowHeight="16.5" x14ac:dyDescent="0.25"/>
  <cols>
    <col min="1" max="1" width="7.85546875" style="1288" customWidth="1"/>
    <col min="2" max="2" width="56.28515625" style="1235" customWidth="1"/>
    <col min="3" max="3" width="16.85546875" style="1288" customWidth="1"/>
    <col min="4" max="4" width="12.7109375" style="1288" customWidth="1"/>
    <col min="5" max="5" width="12.7109375" style="1288" hidden="1" customWidth="1"/>
    <col min="6" max="6" width="15.85546875" style="1288" customWidth="1"/>
    <col min="7" max="256" width="9.140625" style="1245"/>
    <col min="257" max="257" width="7.85546875" style="1245" customWidth="1"/>
    <col min="258" max="258" width="56.28515625" style="1245" customWidth="1"/>
    <col min="259" max="260" width="12.7109375" style="1245" customWidth="1"/>
    <col min="261" max="261" width="0" style="1245" hidden="1" customWidth="1"/>
    <col min="262" max="262" width="12.7109375" style="1245" customWidth="1"/>
    <col min="263" max="512" width="9.140625" style="1245"/>
    <col min="513" max="513" width="7.85546875" style="1245" customWidth="1"/>
    <col min="514" max="514" width="56.28515625" style="1245" customWidth="1"/>
    <col min="515" max="516" width="12.7109375" style="1245" customWidth="1"/>
    <col min="517" max="517" width="0" style="1245" hidden="1" customWidth="1"/>
    <col min="518" max="518" width="12.7109375" style="1245" customWidth="1"/>
    <col min="519" max="768" width="9.140625" style="1245"/>
    <col min="769" max="769" width="7.85546875" style="1245" customWidth="1"/>
    <col min="770" max="770" width="56.28515625" style="1245" customWidth="1"/>
    <col min="771" max="772" width="12.7109375" style="1245" customWidth="1"/>
    <col min="773" max="773" width="0" style="1245" hidden="1" customWidth="1"/>
    <col min="774" max="774" width="12.7109375" style="1245" customWidth="1"/>
    <col min="775" max="1024" width="9.140625" style="1245"/>
    <col min="1025" max="1025" width="7.85546875" style="1245" customWidth="1"/>
    <col min="1026" max="1026" width="56.28515625" style="1245" customWidth="1"/>
    <col min="1027" max="1028" width="12.7109375" style="1245" customWidth="1"/>
    <col min="1029" max="1029" width="0" style="1245" hidden="1" customWidth="1"/>
    <col min="1030" max="1030" width="12.7109375" style="1245" customWidth="1"/>
    <col min="1031" max="1280" width="9.140625" style="1245"/>
    <col min="1281" max="1281" width="7.85546875" style="1245" customWidth="1"/>
    <col min="1282" max="1282" width="56.28515625" style="1245" customWidth="1"/>
    <col min="1283" max="1284" width="12.7109375" style="1245" customWidth="1"/>
    <col min="1285" max="1285" width="0" style="1245" hidden="1" customWidth="1"/>
    <col min="1286" max="1286" width="12.7109375" style="1245" customWidth="1"/>
    <col min="1287" max="1536" width="9.140625" style="1245"/>
    <col min="1537" max="1537" width="7.85546875" style="1245" customWidth="1"/>
    <col min="1538" max="1538" width="56.28515625" style="1245" customWidth="1"/>
    <col min="1539" max="1540" width="12.7109375" style="1245" customWidth="1"/>
    <col min="1541" max="1541" width="0" style="1245" hidden="1" customWidth="1"/>
    <col min="1542" max="1542" width="12.7109375" style="1245" customWidth="1"/>
    <col min="1543" max="1792" width="9.140625" style="1245"/>
    <col min="1793" max="1793" width="7.85546875" style="1245" customWidth="1"/>
    <col min="1794" max="1794" width="56.28515625" style="1245" customWidth="1"/>
    <col min="1795" max="1796" width="12.7109375" style="1245" customWidth="1"/>
    <col min="1797" max="1797" width="0" style="1245" hidden="1" customWidth="1"/>
    <col min="1798" max="1798" width="12.7109375" style="1245" customWidth="1"/>
    <col min="1799" max="2048" width="9.140625" style="1245"/>
    <col min="2049" max="2049" width="7.85546875" style="1245" customWidth="1"/>
    <col min="2050" max="2050" width="56.28515625" style="1245" customWidth="1"/>
    <col min="2051" max="2052" width="12.7109375" style="1245" customWidth="1"/>
    <col min="2053" max="2053" width="0" style="1245" hidden="1" customWidth="1"/>
    <col min="2054" max="2054" width="12.7109375" style="1245" customWidth="1"/>
    <col min="2055" max="2304" width="9.140625" style="1245"/>
    <col min="2305" max="2305" width="7.85546875" style="1245" customWidth="1"/>
    <col min="2306" max="2306" width="56.28515625" style="1245" customWidth="1"/>
    <col min="2307" max="2308" width="12.7109375" style="1245" customWidth="1"/>
    <col min="2309" max="2309" width="0" style="1245" hidden="1" customWidth="1"/>
    <col min="2310" max="2310" width="12.7109375" style="1245" customWidth="1"/>
    <col min="2311" max="2560" width="9.140625" style="1245"/>
    <col min="2561" max="2561" width="7.85546875" style="1245" customWidth="1"/>
    <col min="2562" max="2562" width="56.28515625" style="1245" customWidth="1"/>
    <col min="2563" max="2564" width="12.7109375" style="1245" customWidth="1"/>
    <col min="2565" max="2565" width="0" style="1245" hidden="1" customWidth="1"/>
    <col min="2566" max="2566" width="12.7109375" style="1245" customWidth="1"/>
    <col min="2567" max="2816" width="9.140625" style="1245"/>
    <col min="2817" max="2817" width="7.85546875" style="1245" customWidth="1"/>
    <col min="2818" max="2818" width="56.28515625" style="1245" customWidth="1"/>
    <col min="2819" max="2820" width="12.7109375" style="1245" customWidth="1"/>
    <col min="2821" max="2821" width="0" style="1245" hidden="1" customWidth="1"/>
    <col min="2822" max="2822" width="12.7109375" style="1245" customWidth="1"/>
    <col min="2823" max="3072" width="9.140625" style="1245"/>
    <col min="3073" max="3073" width="7.85546875" style="1245" customWidth="1"/>
    <col min="3074" max="3074" width="56.28515625" style="1245" customWidth="1"/>
    <col min="3075" max="3076" width="12.7109375" style="1245" customWidth="1"/>
    <col min="3077" max="3077" width="0" style="1245" hidden="1" customWidth="1"/>
    <col min="3078" max="3078" width="12.7109375" style="1245" customWidth="1"/>
    <col min="3079" max="3328" width="9.140625" style="1245"/>
    <col min="3329" max="3329" width="7.85546875" style="1245" customWidth="1"/>
    <col min="3330" max="3330" width="56.28515625" style="1245" customWidth="1"/>
    <col min="3331" max="3332" width="12.7109375" style="1245" customWidth="1"/>
    <col min="3333" max="3333" width="0" style="1245" hidden="1" customWidth="1"/>
    <col min="3334" max="3334" width="12.7109375" style="1245" customWidth="1"/>
    <col min="3335" max="3584" width="9.140625" style="1245"/>
    <col min="3585" max="3585" width="7.85546875" style="1245" customWidth="1"/>
    <col min="3586" max="3586" width="56.28515625" style="1245" customWidth="1"/>
    <col min="3587" max="3588" width="12.7109375" style="1245" customWidth="1"/>
    <col min="3589" max="3589" width="0" style="1245" hidden="1" customWidth="1"/>
    <col min="3590" max="3590" width="12.7109375" style="1245" customWidth="1"/>
    <col min="3591" max="3840" width="9.140625" style="1245"/>
    <col min="3841" max="3841" width="7.85546875" style="1245" customWidth="1"/>
    <col min="3842" max="3842" width="56.28515625" style="1245" customWidth="1"/>
    <col min="3843" max="3844" width="12.7109375" style="1245" customWidth="1"/>
    <col min="3845" max="3845" width="0" style="1245" hidden="1" customWidth="1"/>
    <col min="3846" max="3846" width="12.7109375" style="1245" customWidth="1"/>
    <col min="3847" max="4096" width="9.140625" style="1245"/>
    <col min="4097" max="4097" width="7.85546875" style="1245" customWidth="1"/>
    <col min="4098" max="4098" width="56.28515625" style="1245" customWidth="1"/>
    <col min="4099" max="4100" width="12.7109375" style="1245" customWidth="1"/>
    <col min="4101" max="4101" width="0" style="1245" hidden="1" customWidth="1"/>
    <col min="4102" max="4102" width="12.7109375" style="1245" customWidth="1"/>
    <col min="4103" max="4352" width="9.140625" style="1245"/>
    <col min="4353" max="4353" width="7.85546875" style="1245" customWidth="1"/>
    <col min="4354" max="4354" width="56.28515625" style="1245" customWidth="1"/>
    <col min="4355" max="4356" width="12.7109375" style="1245" customWidth="1"/>
    <col min="4357" max="4357" width="0" style="1245" hidden="1" customWidth="1"/>
    <col min="4358" max="4358" width="12.7109375" style="1245" customWidth="1"/>
    <col min="4359" max="4608" width="9.140625" style="1245"/>
    <col min="4609" max="4609" width="7.85546875" style="1245" customWidth="1"/>
    <col min="4610" max="4610" width="56.28515625" style="1245" customWidth="1"/>
    <col min="4611" max="4612" width="12.7109375" style="1245" customWidth="1"/>
    <col min="4613" max="4613" width="0" style="1245" hidden="1" customWidth="1"/>
    <col min="4614" max="4614" width="12.7109375" style="1245" customWidth="1"/>
    <col min="4615" max="4864" width="9.140625" style="1245"/>
    <col min="4865" max="4865" width="7.85546875" style="1245" customWidth="1"/>
    <col min="4866" max="4866" width="56.28515625" style="1245" customWidth="1"/>
    <col min="4867" max="4868" width="12.7109375" style="1245" customWidth="1"/>
    <col min="4869" max="4869" width="0" style="1245" hidden="1" customWidth="1"/>
    <col min="4870" max="4870" width="12.7109375" style="1245" customWidth="1"/>
    <col min="4871" max="5120" width="9.140625" style="1245"/>
    <col min="5121" max="5121" width="7.85546875" style="1245" customWidth="1"/>
    <col min="5122" max="5122" width="56.28515625" style="1245" customWidth="1"/>
    <col min="5123" max="5124" width="12.7109375" style="1245" customWidth="1"/>
    <col min="5125" max="5125" width="0" style="1245" hidden="1" customWidth="1"/>
    <col min="5126" max="5126" width="12.7109375" style="1245" customWidth="1"/>
    <col min="5127" max="5376" width="9.140625" style="1245"/>
    <col min="5377" max="5377" width="7.85546875" style="1245" customWidth="1"/>
    <col min="5378" max="5378" width="56.28515625" style="1245" customWidth="1"/>
    <col min="5379" max="5380" width="12.7109375" style="1245" customWidth="1"/>
    <col min="5381" max="5381" width="0" style="1245" hidden="1" customWidth="1"/>
    <col min="5382" max="5382" width="12.7109375" style="1245" customWidth="1"/>
    <col min="5383" max="5632" width="9.140625" style="1245"/>
    <col min="5633" max="5633" width="7.85546875" style="1245" customWidth="1"/>
    <col min="5634" max="5634" width="56.28515625" style="1245" customWidth="1"/>
    <col min="5635" max="5636" width="12.7109375" style="1245" customWidth="1"/>
    <col min="5637" max="5637" width="0" style="1245" hidden="1" customWidth="1"/>
    <col min="5638" max="5638" width="12.7109375" style="1245" customWidth="1"/>
    <col min="5639" max="5888" width="9.140625" style="1245"/>
    <col min="5889" max="5889" width="7.85546875" style="1245" customWidth="1"/>
    <col min="5890" max="5890" width="56.28515625" style="1245" customWidth="1"/>
    <col min="5891" max="5892" width="12.7109375" style="1245" customWidth="1"/>
    <col min="5893" max="5893" width="0" style="1245" hidden="1" customWidth="1"/>
    <col min="5894" max="5894" width="12.7109375" style="1245" customWidth="1"/>
    <col min="5895" max="6144" width="9.140625" style="1245"/>
    <col min="6145" max="6145" width="7.85546875" style="1245" customWidth="1"/>
    <col min="6146" max="6146" width="56.28515625" style="1245" customWidth="1"/>
    <col min="6147" max="6148" width="12.7109375" style="1245" customWidth="1"/>
    <col min="6149" max="6149" width="0" style="1245" hidden="1" customWidth="1"/>
    <col min="6150" max="6150" width="12.7109375" style="1245" customWidth="1"/>
    <col min="6151" max="6400" width="9.140625" style="1245"/>
    <col min="6401" max="6401" width="7.85546875" style="1245" customWidth="1"/>
    <col min="6402" max="6402" width="56.28515625" style="1245" customWidth="1"/>
    <col min="6403" max="6404" width="12.7109375" style="1245" customWidth="1"/>
    <col min="6405" max="6405" width="0" style="1245" hidden="1" customWidth="1"/>
    <col min="6406" max="6406" width="12.7109375" style="1245" customWidth="1"/>
    <col min="6407" max="6656" width="9.140625" style="1245"/>
    <col min="6657" max="6657" width="7.85546875" style="1245" customWidth="1"/>
    <col min="6658" max="6658" width="56.28515625" style="1245" customWidth="1"/>
    <col min="6659" max="6660" width="12.7109375" style="1245" customWidth="1"/>
    <col min="6661" max="6661" width="0" style="1245" hidden="1" customWidth="1"/>
    <col min="6662" max="6662" width="12.7109375" style="1245" customWidth="1"/>
    <col min="6663" max="6912" width="9.140625" style="1245"/>
    <col min="6913" max="6913" width="7.85546875" style="1245" customWidth="1"/>
    <col min="6914" max="6914" width="56.28515625" style="1245" customWidth="1"/>
    <col min="6915" max="6916" width="12.7109375" style="1245" customWidth="1"/>
    <col min="6917" max="6917" width="0" style="1245" hidden="1" customWidth="1"/>
    <col min="6918" max="6918" width="12.7109375" style="1245" customWidth="1"/>
    <col min="6919" max="7168" width="9.140625" style="1245"/>
    <col min="7169" max="7169" width="7.85546875" style="1245" customWidth="1"/>
    <col min="7170" max="7170" width="56.28515625" style="1245" customWidth="1"/>
    <col min="7171" max="7172" width="12.7109375" style="1245" customWidth="1"/>
    <col min="7173" max="7173" width="0" style="1245" hidden="1" customWidth="1"/>
    <col min="7174" max="7174" width="12.7109375" style="1245" customWidth="1"/>
    <col min="7175" max="7424" width="9.140625" style="1245"/>
    <col min="7425" max="7425" width="7.85546875" style="1245" customWidth="1"/>
    <col min="7426" max="7426" width="56.28515625" style="1245" customWidth="1"/>
    <col min="7427" max="7428" width="12.7109375" style="1245" customWidth="1"/>
    <col min="7429" max="7429" width="0" style="1245" hidden="1" customWidth="1"/>
    <col min="7430" max="7430" width="12.7109375" style="1245" customWidth="1"/>
    <col min="7431" max="7680" width="9.140625" style="1245"/>
    <col min="7681" max="7681" width="7.85546875" style="1245" customWidth="1"/>
    <col min="7682" max="7682" width="56.28515625" style="1245" customWidth="1"/>
    <col min="7683" max="7684" width="12.7109375" style="1245" customWidth="1"/>
    <col min="7685" max="7685" width="0" style="1245" hidden="1" customWidth="1"/>
    <col min="7686" max="7686" width="12.7109375" style="1245" customWidth="1"/>
    <col min="7687" max="7936" width="9.140625" style="1245"/>
    <col min="7937" max="7937" width="7.85546875" style="1245" customWidth="1"/>
    <col min="7938" max="7938" width="56.28515625" style="1245" customWidth="1"/>
    <col min="7939" max="7940" width="12.7109375" style="1245" customWidth="1"/>
    <col min="7941" max="7941" width="0" style="1245" hidden="1" customWidth="1"/>
    <col min="7942" max="7942" width="12.7109375" style="1245" customWidth="1"/>
    <col min="7943" max="8192" width="9.140625" style="1245"/>
    <col min="8193" max="8193" width="7.85546875" style="1245" customWidth="1"/>
    <col min="8194" max="8194" width="56.28515625" style="1245" customWidth="1"/>
    <col min="8195" max="8196" width="12.7109375" style="1245" customWidth="1"/>
    <col min="8197" max="8197" width="0" style="1245" hidden="1" customWidth="1"/>
    <col min="8198" max="8198" width="12.7109375" style="1245" customWidth="1"/>
    <col min="8199" max="8448" width="9.140625" style="1245"/>
    <col min="8449" max="8449" width="7.85546875" style="1245" customWidth="1"/>
    <col min="8450" max="8450" width="56.28515625" style="1245" customWidth="1"/>
    <col min="8451" max="8452" width="12.7109375" style="1245" customWidth="1"/>
    <col min="8453" max="8453" width="0" style="1245" hidden="1" customWidth="1"/>
    <col min="8454" max="8454" width="12.7109375" style="1245" customWidth="1"/>
    <col min="8455" max="8704" width="9.140625" style="1245"/>
    <col min="8705" max="8705" width="7.85546875" style="1245" customWidth="1"/>
    <col min="8706" max="8706" width="56.28515625" style="1245" customWidth="1"/>
    <col min="8707" max="8708" width="12.7109375" style="1245" customWidth="1"/>
    <col min="8709" max="8709" width="0" style="1245" hidden="1" customWidth="1"/>
    <col min="8710" max="8710" width="12.7109375" style="1245" customWidth="1"/>
    <col min="8711" max="8960" width="9.140625" style="1245"/>
    <col min="8961" max="8961" width="7.85546875" style="1245" customWidth="1"/>
    <col min="8962" max="8962" width="56.28515625" style="1245" customWidth="1"/>
    <col min="8963" max="8964" width="12.7109375" style="1245" customWidth="1"/>
    <col min="8965" max="8965" width="0" style="1245" hidden="1" customWidth="1"/>
    <col min="8966" max="8966" width="12.7109375" style="1245" customWidth="1"/>
    <col min="8967" max="9216" width="9.140625" style="1245"/>
    <col min="9217" max="9217" width="7.85546875" style="1245" customWidth="1"/>
    <col min="9218" max="9218" width="56.28515625" style="1245" customWidth="1"/>
    <col min="9219" max="9220" width="12.7109375" style="1245" customWidth="1"/>
    <col min="9221" max="9221" width="0" style="1245" hidden="1" customWidth="1"/>
    <col min="9222" max="9222" width="12.7109375" style="1245" customWidth="1"/>
    <col min="9223" max="9472" width="9.140625" style="1245"/>
    <col min="9473" max="9473" width="7.85546875" style="1245" customWidth="1"/>
    <col min="9474" max="9474" width="56.28515625" style="1245" customWidth="1"/>
    <col min="9475" max="9476" width="12.7109375" style="1245" customWidth="1"/>
    <col min="9477" max="9477" width="0" style="1245" hidden="1" customWidth="1"/>
    <col min="9478" max="9478" width="12.7109375" style="1245" customWidth="1"/>
    <col min="9479" max="9728" width="9.140625" style="1245"/>
    <col min="9729" max="9729" width="7.85546875" style="1245" customWidth="1"/>
    <col min="9730" max="9730" width="56.28515625" style="1245" customWidth="1"/>
    <col min="9731" max="9732" width="12.7109375" style="1245" customWidth="1"/>
    <col min="9733" max="9733" width="0" style="1245" hidden="1" customWidth="1"/>
    <col min="9734" max="9734" width="12.7109375" style="1245" customWidth="1"/>
    <col min="9735" max="9984" width="9.140625" style="1245"/>
    <col min="9985" max="9985" width="7.85546875" style="1245" customWidth="1"/>
    <col min="9986" max="9986" width="56.28515625" style="1245" customWidth="1"/>
    <col min="9987" max="9988" width="12.7109375" style="1245" customWidth="1"/>
    <col min="9989" max="9989" width="0" style="1245" hidden="1" customWidth="1"/>
    <col min="9990" max="9990" width="12.7109375" style="1245" customWidth="1"/>
    <col min="9991" max="10240" width="9.140625" style="1245"/>
    <col min="10241" max="10241" width="7.85546875" style="1245" customWidth="1"/>
    <col min="10242" max="10242" width="56.28515625" style="1245" customWidth="1"/>
    <col min="10243" max="10244" width="12.7109375" style="1245" customWidth="1"/>
    <col min="10245" max="10245" width="0" style="1245" hidden="1" customWidth="1"/>
    <col min="10246" max="10246" width="12.7109375" style="1245" customWidth="1"/>
    <col min="10247" max="10496" width="9.140625" style="1245"/>
    <col min="10497" max="10497" width="7.85546875" style="1245" customWidth="1"/>
    <col min="10498" max="10498" width="56.28515625" style="1245" customWidth="1"/>
    <col min="10499" max="10500" width="12.7109375" style="1245" customWidth="1"/>
    <col min="10501" max="10501" width="0" style="1245" hidden="1" customWidth="1"/>
    <col min="10502" max="10502" width="12.7109375" style="1245" customWidth="1"/>
    <col min="10503" max="10752" width="9.140625" style="1245"/>
    <col min="10753" max="10753" width="7.85546875" style="1245" customWidth="1"/>
    <col min="10754" max="10754" width="56.28515625" style="1245" customWidth="1"/>
    <col min="10755" max="10756" width="12.7109375" style="1245" customWidth="1"/>
    <col min="10757" max="10757" width="0" style="1245" hidden="1" customWidth="1"/>
    <col min="10758" max="10758" width="12.7109375" style="1245" customWidth="1"/>
    <col min="10759" max="11008" width="9.140625" style="1245"/>
    <col min="11009" max="11009" width="7.85546875" style="1245" customWidth="1"/>
    <col min="11010" max="11010" width="56.28515625" style="1245" customWidth="1"/>
    <col min="11011" max="11012" width="12.7109375" style="1245" customWidth="1"/>
    <col min="11013" max="11013" width="0" style="1245" hidden="1" customWidth="1"/>
    <col min="11014" max="11014" width="12.7109375" style="1245" customWidth="1"/>
    <col min="11015" max="11264" width="9.140625" style="1245"/>
    <col min="11265" max="11265" width="7.85546875" style="1245" customWidth="1"/>
    <col min="11266" max="11266" width="56.28515625" style="1245" customWidth="1"/>
    <col min="11267" max="11268" width="12.7109375" style="1245" customWidth="1"/>
    <col min="11269" max="11269" width="0" style="1245" hidden="1" customWidth="1"/>
    <col min="11270" max="11270" width="12.7109375" style="1245" customWidth="1"/>
    <col min="11271" max="11520" width="9.140625" style="1245"/>
    <col min="11521" max="11521" width="7.85546875" style="1245" customWidth="1"/>
    <col min="11522" max="11522" width="56.28515625" style="1245" customWidth="1"/>
    <col min="11523" max="11524" width="12.7109375" style="1245" customWidth="1"/>
    <col min="11525" max="11525" width="0" style="1245" hidden="1" customWidth="1"/>
    <col min="11526" max="11526" width="12.7109375" style="1245" customWidth="1"/>
    <col min="11527" max="11776" width="9.140625" style="1245"/>
    <col min="11777" max="11777" width="7.85546875" style="1245" customWidth="1"/>
    <col min="11778" max="11778" width="56.28515625" style="1245" customWidth="1"/>
    <col min="11779" max="11780" width="12.7109375" style="1245" customWidth="1"/>
    <col min="11781" max="11781" width="0" style="1245" hidden="1" customWidth="1"/>
    <col min="11782" max="11782" width="12.7109375" style="1245" customWidth="1"/>
    <col min="11783" max="12032" width="9.140625" style="1245"/>
    <col min="12033" max="12033" width="7.85546875" style="1245" customWidth="1"/>
    <col min="12034" max="12034" width="56.28515625" style="1245" customWidth="1"/>
    <col min="12035" max="12036" width="12.7109375" style="1245" customWidth="1"/>
    <col min="12037" max="12037" width="0" style="1245" hidden="1" customWidth="1"/>
    <col min="12038" max="12038" width="12.7109375" style="1245" customWidth="1"/>
    <col min="12039" max="12288" width="9.140625" style="1245"/>
    <col min="12289" max="12289" width="7.85546875" style="1245" customWidth="1"/>
    <col min="12290" max="12290" width="56.28515625" style="1245" customWidth="1"/>
    <col min="12291" max="12292" width="12.7109375" style="1245" customWidth="1"/>
    <col min="12293" max="12293" width="0" style="1245" hidden="1" customWidth="1"/>
    <col min="12294" max="12294" width="12.7109375" style="1245" customWidth="1"/>
    <col min="12295" max="12544" width="9.140625" style="1245"/>
    <col min="12545" max="12545" width="7.85546875" style="1245" customWidth="1"/>
    <col min="12546" max="12546" width="56.28515625" style="1245" customWidth="1"/>
    <col min="12547" max="12548" width="12.7109375" style="1245" customWidth="1"/>
    <col min="12549" max="12549" width="0" style="1245" hidden="1" customWidth="1"/>
    <col min="12550" max="12550" width="12.7109375" style="1245" customWidth="1"/>
    <col min="12551" max="12800" width="9.140625" style="1245"/>
    <col min="12801" max="12801" width="7.85546875" style="1245" customWidth="1"/>
    <col min="12802" max="12802" width="56.28515625" style="1245" customWidth="1"/>
    <col min="12803" max="12804" width="12.7109375" style="1245" customWidth="1"/>
    <col min="12805" max="12805" width="0" style="1245" hidden="1" customWidth="1"/>
    <col min="12806" max="12806" width="12.7109375" style="1245" customWidth="1"/>
    <col min="12807" max="13056" width="9.140625" style="1245"/>
    <col min="13057" max="13057" width="7.85546875" style="1245" customWidth="1"/>
    <col min="13058" max="13058" width="56.28515625" style="1245" customWidth="1"/>
    <col min="13059" max="13060" width="12.7109375" style="1245" customWidth="1"/>
    <col min="13061" max="13061" width="0" style="1245" hidden="1" customWidth="1"/>
    <col min="13062" max="13062" width="12.7109375" style="1245" customWidth="1"/>
    <col min="13063" max="13312" width="9.140625" style="1245"/>
    <col min="13313" max="13313" width="7.85546875" style="1245" customWidth="1"/>
    <col min="13314" max="13314" width="56.28515625" style="1245" customWidth="1"/>
    <col min="13315" max="13316" width="12.7109375" style="1245" customWidth="1"/>
    <col min="13317" max="13317" width="0" style="1245" hidden="1" customWidth="1"/>
    <col min="13318" max="13318" width="12.7109375" style="1245" customWidth="1"/>
    <col min="13319" max="13568" width="9.140625" style="1245"/>
    <col min="13569" max="13569" width="7.85546875" style="1245" customWidth="1"/>
    <col min="13570" max="13570" width="56.28515625" style="1245" customWidth="1"/>
    <col min="13571" max="13572" width="12.7109375" style="1245" customWidth="1"/>
    <col min="13573" max="13573" width="0" style="1245" hidden="1" customWidth="1"/>
    <col min="13574" max="13574" width="12.7109375" style="1245" customWidth="1"/>
    <col min="13575" max="13824" width="9.140625" style="1245"/>
    <col min="13825" max="13825" width="7.85546875" style="1245" customWidth="1"/>
    <col min="13826" max="13826" width="56.28515625" style="1245" customWidth="1"/>
    <col min="13827" max="13828" width="12.7109375" style="1245" customWidth="1"/>
    <col min="13829" max="13829" width="0" style="1245" hidden="1" customWidth="1"/>
    <col min="13830" max="13830" width="12.7109375" style="1245" customWidth="1"/>
    <col min="13831" max="14080" width="9.140625" style="1245"/>
    <col min="14081" max="14081" width="7.85546875" style="1245" customWidth="1"/>
    <col min="14082" max="14082" width="56.28515625" style="1245" customWidth="1"/>
    <col min="14083" max="14084" width="12.7109375" style="1245" customWidth="1"/>
    <col min="14085" max="14085" width="0" style="1245" hidden="1" customWidth="1"/>
    <col min="14086" max="14086" width="12.7109375" style="1245" customWidth="1"/>
    <col min="14087" max="14336" width="9.140625" style="1245"/>
    <col min="14337" max="14337" width="7.85546875" style="1245" customWidth="1"/>
    <col min="14338" max="14338" width="56.28515625" style="1245" customWidth="1"/>
    <col min="14339" max="14340" width="12.7109375" style="1245" customWidth="1"/>
    <col min="14341" max="14341" width="0" style="1245" hidden="1" customWidth="1"/>
    <col min="14342" max="14342" width="12.7109375" style="1245" customWidth="1"/>
    <col min="14343" max="14592" width="9.140625" style="1245"/>
    <col min="14593" max="14593" width="7.85546875" style="1245" customWidth="1"/>
    <col min="14594" max="14594" width="56.28515625" style="1245" customWidth="1"/>
    <col min="14595" max="14596" width="12.7109375" style="1245" customWidth="1"/>
    <col min="14597" max="14597" width="0" style="1245" hidden="1" customWidth="1"/>
    <col min="14598" max="14598" width="12.7109375" style="1245" customWidth="1"/>
    <col min="14599" max="14848" width="9.140625" style="1245"/>
    <col min="14849" max="14849" width="7.85546875" style="1245" customWidth="1"/>
    <col min="14850" max="14850" width="56.28515625" style="1245" customWidth="1"/>
    <col min="14851" max="14852" width="12.7109375" style="1245" customWidth="1"/>
    <col min="14853" max="14853" width="0" style="1245" hidden="1" customWidth="1"/>
    <col min="14854" max="14854" width="12.7109375" style="1245" customWidth="1"/>
    <col min="14855" max="15104" width="9.140625" style="1245"/>
    <col min="15105" max="15105" width="7.85546875" style="1245" customWidth="1"/>
    <col min="15106" max="15106" width="56.28515625" style="1245" customWidth="1"/>
    <col min="15107" max="15108" width="12.7109375" style="1245" customWidth="1"/>
    <col min="15109" max="15109" width="0" style="1245" hidden="1" customWidth="1"/>
    <col min="15110" max="15110" width="12.7109375" style="1245" customWidth="1"/>
    <col min="15111" max="15360" width="9.140625" style="1245"/>
    <col min="15361" max="15361" width="7.85546875" style="1245" customWidth="1"/>
    <col min="15362" max="15362" width="56.28515625" style="1245" customWidth="1"/>
    <col min="15363" max="15364" width="12.7109375" style="1245" customWidth="1"/>
    <col min="15365" max="15365" width="0" style="1245" hidden="1" customWidth="1"/>
    <col min="15366" max="15366" width="12.7109375" style="1245" customWidth="1"/>
    <col min="15367" max="15616" width="9.140625" style="1245"/>
    <col min="15617" max="15617" width="7.85546875" style="1245" customWidth="1"/>
    <col min="15618" max="15618" width="56.28515625" style="1245" customWidth="1"/>
    <col min="15619" max="15620" width="12.7109375" style="1245" customWidth="1"/>
    <col min="15621" max="15621" width="0" style="1245" hidden="1" customWidth="1"/>
    <col min="15622" max="15622" width="12.7109375" style="1245" customWidth="1"/>
    <col min="15623" max="15872" width="9.140625" style="1245"/>
    <col min="15873" max="15873" width="7.85546875" style="1245" customWidth="1"/>
    <col min="15874" max="15874" width="56.28515625" style="1245" customWidth="1"/>
    <col min="15875" max="15876" width="12.7109375" style="1245" customWidth="1"/>
    <col min="15877" max="15877" width="0" style="1245" hidden="1" customWidth="1"/>
    <col min="15878" max="15878" width="12.7109375" style="1245" customWidth="1"/>
    <col min="15879" max="16128" width="9.140625" style="1245"/>
    <col min="16129" max="16129" width="7.85546875" style="1245" customWidth="1"/>
    <col min="16130" max="16130" width="56.28515625" style="1245" customWidth="1"/>
    <col min="16131" max="16132" width="12.7109375" style="1245" customWidth="1"/>
    <col min="16133" max="16133" width="0" style="1245" hidden="1" customWidth="1"/>
    <col min="16134" max="16134" width="12.7109375" style="1245" customWidth="1"/>
    <col min="16135" max="16384" width="9.140625" style="1245"/>
  </cols>
  <sheetData>
    <row r="1" spans="1:7" ht="22.5" customHeight="1" x14ac:dyDescent="0.25">
      <c r="D1" s="3171" t="s">
        <v>1125</v>
      </c>
      <c r="E1" s="3171"/>
      <c r="F1" s="3171"/>
    </row>
    <row r="2" spans="1:7" ht="24.75" customHeight="1" x14ac:dyDescent="0.25">
      <c r="A2" s="3101" t="s">
        <v>1126</v>
      </c>
      <c r="B2" s="3101"/>
      <c r="C2" s="3101"/>
      <c r="D2" s="3101"/>
      <c r="E2" s="3101"/>
      <c r="F2" s="3101"/>
    </row>
    <row r="3" spans="1:7" ht="26.25" customHeight="1" x14ac:dyDescent="0.25">
      <c r="A3" s="3224" t="str">
        <f>'Phụ biểu số 03'!A3:AS3</f>
        <v>(Kèm theo Quyết định số          /QĐ-UBND ngày          /4/2026 của UBND phường Bắc Kạn)</v>
      </c>
      <c r="B3" s="3224"/>
      <c r="C3" s="3224"/>
      <c r="D3" s="3224"/>
      <c r="E3" s="3224"/>
      <c r="F3" s="3224"/>
    </row>
    <row r="4" spans="1:7" ht="21.75" customHeight="1" x14ac:dyDescent="0.25">
      <c r="D4" s="3167" t="s">
        <v>982</v>
      </c>
      <c r="E4" s="3167"/>
      <c r="F4" s="3167"/>
    </row>
    <row r="5" spans="1:7" ht="21.75" customHeight="1" x14ac:dyDescent="0.25">
      <c r="A5" s="3416" t="s">
        <v>0</v>
      </c>
      <c r="B5" s="3416" t="s">
        <v>1</v>
      </c>
      <c r="C5" s="3416" t="s">
        <v>1086</v>
      </c>
      <c r="D5" s="3418" t="s">
        <v>34</v>
      </c>
      <c r="E5" s="3418"/>
      <c r="F5" s="3418"/>
    </row>
    <row r="6" spans="1:7" ht="21.75" customHeight="1" x14ac:dyDescent="0.25">
      <c r="A6" s="3417"/>
      <c r="B6" s="3417"/>
      <c r="C6" s="3417"/>
      <c r="D6" s="5" t="s">
        <v>1051</v>
      </c>
      <c r="E6" s="5" t="s">
        <v>687</v>
      </c>
      <c r="F6" s="5" t="s">
        <v>688</v>
      </c>
      <c r="G6" s="1289"/>
    </row>
    <row r="7" spans="1:7" s="1290" customFormat="1" ht="21.75" customHeight="1" x14ac:dyDescent="0.25">
      <c r="A7" s="1379" t="s">
        <v>3</v>
      </c>
      <c r="B7" s="252" t="s">
        <v>4</v>
      </c>
      <c r="C7" s="1379" t="s">
        <v>1087</v>
      </c>
      <c r="D7" s="1379">
        <v>2</v>
      </c>
      <c r="E7" s="1379">
        <v>2</v>
      </c>
      <c r="F7" s="1379">
        <v>3</v>
      </c>
    </row>
    <row r="8" spans="1:7" s="228" customFormat="1" ht="21.75" customHeight="1" x14ac:dyDescent="0.25">
      <c r="A8" s="1443">
        <v>1</v>
      </c>
      <c r="B8" s="84" t="s">
        <v>1127</v>
      </c>
      <c r="C8" s="2791">
        <f>C9+C12</f>
        <v>8764408.2249999996</v>
      </c>
      <c r="D8" s="2791"/>
      <c r="E8" s="2791"/>
      <c r="F8" s="2791">
        <f>F9+F12</f>
        <v>8764408.2249999996</v>
      </c>
    </row>
    <row r="9" spans="1:7" ht="21.75" customHeight="1" x14ac:dyDescent="0.25">
      <c r="A9" s="2341" t="s">
        <v>1000</v>
      </c>
      <c r="B9" s="774" t="s">
        <v>1128</v>
      </c>
      <c r="C9" s="2792">
        <f>C10+C11</f>
        <v>442309.4</v>
      </c>
      <c r="D9" s="2792"/>
      <c r="E9" s="2792"/>
      <c r="F9" s="2792">
        <f>F10+F11</f>
        <v>442309.4</v>
      </c>
    </row>
    <row r="10" spans="1:7" ht="21.75" hidden="1" customHeight="1" x14ac:dyDescent="0.25">
      <c r="A10" s="2329"/>
      <c r="B10" s="2793" t="s">
        <v>775</v>
      </c>
      <c r="C10" s="2794">
        <f>D10+F10</f>
        <v>323309.40000000002</v>
      </c>
      <c r="D10" s="2794"/>
      <c r="E10" s="2794"/>
      <c r="F10" s="2794">
        <v>323309.40000000002</v>
      </c>
    </row>
    <row r="11" spans="1:7" ht="35.25" hidden="1" customHeight="1" x14ac:dyDescent="0.25">
      <c r="A11" s="2329"/>
      <c r="B11" s="2793" t="s">
        <v>1463</v>
      </c>
      <c r="C11" s="2794">
        <f>D11+F11</f>
        <v>119000</v>
      </c>
      <c r="D11" s="2794"/>
      <c r="E11" s="2794"/>
      <c r="F11" s="2794">
        <v>119000</v>
      </c>
    </row>
    <row r="12" spans="1:7" ht="21.75" customHeight="1" x14ac:dyDescent="0.25">
      <c r="A12" s="2329" t="s">
        <v>1000</v>
      </c>
      <c r="B12" s="69" t="s">
        <v>1129</v>
      </c>
      <c r="C12" s="2794">
        <f>SUM(C13:C15)</f>
        <v>8322098.8249999993</v>
      </c>
      <c r="D12" s="2045"/>
      <c r="E12" s="2045"/>
      <c r="F12" s="2794">
        <f>SUM(F13:F15)</f>
        <v>8322098.8249999993</v>
      </c>
    </row>
    <row r="13" spans="1:7" ht="21.75" hidden="1" customHeight="1" x14ac:dyDescent="0.25">
      <c r="A13" s="2329"/>
      <c r="B13" s="2793" t="s">
        <v>771</v>
      </c>
      <c r="C13" s="2794">
        <f>D13+F13</f>
        <v>2042861.7250000001</v>
      </c>
      <c r="D13" s="2045"/>
      <c r="E13" s="2045"/>
      <c r="F13" s="2794">
        <v>2042861.7250000001</v>
      </c>
    </row>
    <row r="14" spans="1:7" ht="35.25" hidden="1" customHeight="1" x14ac:dyDescent="0.25">
      <c r="A14" s="2329"/>
      <c r="B14" s="2793" t="s">
        <v>1442</v>
      </c>
      <c r="C14" s="2794">
        <f t="shared" ref="C14:C15" si="0">D14+F14</f>
        <v>2083537</v>
      </c>
      <c r="D14" s="2045"/>
      <c r="E14" s="2045"/>
      <c r="F14" s="2794">
        <v>2083537</v>
      </c>
    </row>
    <row r="15" spans="1:7" ht="35.25" hidden="1" customHeight="1" x14ac:dyDescent="0.25">
      <c r="A15" s="2344"/>
      <c r="B15" s="2795" t="s">
        <v>778</v>
      </c>
      <c r="C15" s="2796">
        <f t="shared" si="0"/>
        <v>4195700.0999999996</v>
      </c>
      <c r="D15" s="2797"/>
      <c r="E15" s="2797"/>
      <c r="F15" s="2796">
        <v>4195700.0999999996</v>
      </c>
    </row>
    <row r="16" spans="1:7" s="228" customFormat="1" ht="21.75" customHeight="1" x14ac:dyDescent="0.25">
      <c r="A16" s="1443">
        <v>2</v>
      </c>
      <c r="B16" s="84" t="s">
        <v>1130</v>
      </c>
      <c r="C16" s="2791">
        <f>C17+C21</f>
        <v>6322098.8249999993</v>
      </c>
      <c r="D16" s="2798"/>
      <c r="E16" s="2798"/>
      <c r="F16" s="2791">
        <f>F17+F21</f>
        <v>6322098.8249999993</v>
      </c>
      <c r="G16" s="1245"/>
    </row>
    <row r="17" spans="1:8" ht="21.75" customHeight="1" x14ac:dyDescent="0.25">
      <c r="A17" s="2341" t="s">
        <v>30</v>
      </c>
      <c r="B17" s="774" t="s">
        <v>1131</v>
      </c>
      <c r="C17" s="2792">
        <f>SUM(C18:C20)</f>
        <v>6322098.8249999993</v>
      </c>
      <c r="D17" s="2799"/>
      <c r="E17" s="2799"/>
      <c r="F17" s="2792">
        <f>SUM(F18:F20)</f>
        <v>6322098.8249999993</v>
      </c>
    </row>
    <row r="18" spans="1:8" ht="21.75" customHeight="1" x14ac:dyDescent="0.25">
      <c r="A18" s="2329" t="s">
        <v>1000</v>
      </c>
      <c r="B18" s="2793" t="s">
        <v>771</v>
      </c>
      <c r="C18" s="2794">
        <f>D18+F18</f>
        <v>2042861.7250000001</v>
      </c>
      <c r="D18" s="2045"/>
      <c r="E18" s="2045"/>
      <c r="F18" s="2794">
        <v>2042861.7250000001</v>
      </c>
    </row>
    <row r="19" spans="1:8" ht="35.25" customHeight="1" x14ac:dyDescent="0.25">
      <c r="A19" s="2329" t="s">
        <v>1000</v>
      </c>
      <c r="B19" s="2793" t="s">
        <v>1442</v>
      </c>
      <c r="C19" s="2794">
        <f t="shared" ref="C19:C20" si="1">D19+F19</f>
        <v>83537</v>
      </c>
      <c r="D19" s="2045"/>
      <c r="E19" s="2045"/>
      <c r="F19" s="2794">
        <v>83537</v>
      </c>
    </row>
    <row r="20" spans="1:8" ht="35.25" customHeight="1" x14ac:dyDescent="0.25">
      <c r="A20" s="2329" t="s">
        <v>1000</v>
      </c>
      <c r="B20" s="2793" t="s">
        <v>778</v>
      </c>
      <c r="C20" s="2794">
        <f t="shared" si="1"/>
        <v>4195700.0999999996</v>
      </c>
      <c r="D20" s="2045"/>
      <c r="E20" s="2045"/>
      <c r="F20" s="2794">
        <v>4195700.0999999996</v>
      </c>
    </row>
    <row r="21" spans="1:8" ht="21.75" customHeight="1" x14ac:dyDescent="0.25">
      <c r="A21" s="2329" t="s">
        <v>31</v>
      </c>
      <c r="B21" s="69" t="s">
        <v>1133</v>
      </c>
      <c r="C21" s="2045"/>
      <c r="D21" s="2045"/>
      <c r="E21" s="2045"/>
      <c r="F21" s="2045"/>
    </row>
    <row r="22" spans="1:8" s="1294" customFormat="1" ht="21.75" hidden="1" customHeight="1" x14ac:dyDescent="0.25">
      <c r="A22" s="2800" t="s">
        <v>1000</v>
      </c>
      <c r="B22" s="1782" t="s">
        <v>1134</v>
      </c>
      <c r="C22" s="2801"/>
      <c r="D22" s="2801"/>
      <c r="E22" s="2801"/>
      <c r="F22" s="2801"/>
    </row>
    <row r="23" spans="1:8" s="1294" customFormat="1" ht="21.75" hidden="1" customHeight="1" x14ac:dyDescent="0.25">
      <c r="A23" s="2802" t="s">
        <v>1000</v>
      </c>
      <c r="B23" s="2803" t="s">
        <v>1074</v>
      </c>
      <c r="C23" s="2804"/>
      <c r="D23" s="2804"/>
      <c r="E23" s="2804"/>
      <c r="F23" s="2804"/>
    </row>
    <row r="24" spans="1:8" s="228" customFormat="1" ht="21.75" customHeight="1" x14ac:dyDescent="0.25">
      <c r="A24" s="1443">
        <v>3</v>
      </c>
      <c r="B24" s="84" t="s">
        <v>1135</v>
      </c>
      <c r="C24" s="2798"/>
      <c r="D24" s="2798"/>
      <c r="E24" s="2798"/>
      <c r="F24" s="2791">
        <f>F25</f>
        <v>2000000</v>
      </c>
    </row>
    <row r="25" spans="1:8" ht="31.5" x14ac:dyDescent="0.25">
      <c r="A25" s="2805" t="s">
        <v>1000</v>
      </c>
      <c r="B25" s="2806" t="s">
        <v>1442</v>
      </c>
      <c r="C25" s="2807"/>
      <c r="D25" s="2807"/>
      <c r="E25" s="2807"/>
      <c r="F25" s="2808">
        <f>F14-F19</f>
        <v>2000000</v>
      </c>
    </row>
    <row r="26" spans="1:8" hidden="1" x14ac:dyDescent="0.25">
      <c r="A26" s="1291" t="s">
        <v>1000</v>
      </c>
      <c r="B26" s="2414" t="s">
        <v>1132</v>
      </c>
      <c r="C26" s="1292"/>
      <c r="D26" s="1292"/>
      <c r="E26" s="1292"/>
      <c r="F26" s="1292"/>
    </row>
    <row r="27" spans="1:8" hidden="1" x14ac:dyDescent="0.25">
      <c r="A27" s="1293" t="s">
        <v>1000</v>
      </c>
      <c r="B27" s="2412" t="s">
        <v>1136</v>
      </c>
      <c r="C27" s="1295"/>
      <c r="D27" s="1295"/>
      <c r="E27" s="1295"/>
      <c r="F27" s="1295"/>
    </row>
    <row r="28" spans="1:8" hidden="1" x14ac:dyDescent="0.25">
      <c r="A28" s="1296"/>
      <c r="B28" s="1244" t="s">
        <v>1089</v>
      </c>
      <c r="C28" s="1296"/>
      <c r="D28" s="1296"/>
      <c r="E28" s="1296"/>
      <c r="F28" s="1296"/>
    </row>
    <row r="30" spans="1:8" ht="18.75" customHeight="1" x14ac:dyDescent="0.25">
      <c r="B30" s="2413"/>
      <c r="C30" s="3414" t="s">
        <v>2347</v>
      </c>
      <c r="D30" s="3414"/>
      <c r="E30" s="3414"/>
      <c r="F30" s="3414"/>
      <c r="G30" s="1246"/>
      <c r="H30" s="1246"/>
    </row>
    <row r="31" spans="1:8" ht="37.5" customHeight="1" x14ac:dyDescent="0.25">
      <c r="B31" s="1247"/>
      <c r="C31" s="3415" t="s">
        <v>1075</v>
      </c>
      <c r="D31" s="3415"/>
      <c r="E31" s="3415"/>
      <c r="F31" s="3415"/>
      <c r="G31" s="1247"/>
      <c r="H31" s="1247"/>
    </row>
    <row r="32" spans="1:8" x14ac:dyDescent="0.25">
      <c r="B32" s="1289"/>
      <c r="C32" s="3172" t="s">
        <v>12</v>
      </c>
      <c r="D32" s="3172"/>
      <c r="E32" s="3172"/>
      <c r="F32" s="3172"/>
      <c r="G32" s="1294"/>
      <c r="H32" s="1294"/>
    </row>
    <row r="38" spans="3:6" x14ac:dyDescent="0.25">
      <c r="C38" s="3171" t="s">
        <v>1386</v>
      </c>
      <c r="D38" s="3171"/>
      <c r="E38" s="3171"/>
      <c r="F38" s="3171"/>
    </row>
  </sheetData>
  <mergeCells count="12">
    <mergeCell ref="D1:F1"/>
    <mergeCell ref="C30:F30"/>
    <mergeCell ref="C31:F31"/>
    <mergeCell ref="C32:F32"/>
    <mergeCell ref="C38:F38"/>
    <mergeCell ref="A2:F2"/>
    <mergeCell ref="D4:F4"/>
    <mergeCell ref="A5:A6"/>
    <mergeCell ref="B5:B6"/>
    <mergeCell ref="C5:C6"/>
    <mergeCell ref="D5:F5"/>
    <mergeCell ref="A3:F3"/>
  </mergeCells>
  <pageMargins left="0.7" right="0.7" top="0.57999999999999996" bottom="0.75" header="0.3" footer="0.3"/>
  <pageSetup paperSize="9" scale="81" firstPageNumber="100" orientation="portrait" useFirstPageNumber="1" verticalDpi="0" r:id="rId1"/>
  <headerFoot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B59F2-C479-4859-9A98-0D3C415B84F2}">
  <sheetPr>
    <tabColor theme="3" tint="0.39997558519241921"/>
  </sheetPr>
  <dimension ref="A1:K28"/>
  <sheetViews>
    <sheetView view="pageBreakPreview" zoomScale="90" zoomScaleNormal="100" zoomScaleSheetLayoutView="90" workbookViewId="0">
      <selection activeCell="H23" sqref="H23"/>
    </sheetView>
  </sheetViews>
  <sheetFormatPr defaultRowHeight="15.75" x14ac:dyDescent="0.25"/>
  <cols>
    <col min="1" max="1" width="6.7109375" style="688" customWidth="1"/>
    <col min="2" max="2" width="35.140625" style="10" customWidth="1"/>
    <col min="3" max="3" width="9.28515625" style="2321" bestFit="1" customWidth="1"/>
    <col min="4" max="4" width="12.42578125" style="2321" bestFit="1" customWidth="1"/>
    <col min="5" max="5" width="10.28515625" style="2321" customWidth="1"/>
    <col min="6" max="6" width="9.28515625" style="2321" customWidth="1"/>
    <col min="7" max="8" width="9.28515625" style="2321" bestFit="1" customWidth="1"/>
    <col min="9" max="9" width="7.140625" style="2321" customWidth="1"/>
    <col min="10" max="10" width="7.28515625" style="2321" customWidth="1"/>
    <col min="11" max="256" width="9.140625" style="10"/>
    <col min="257" max="257" width="6.7109375" style="10" customWidth="1"/>
    <col min="258" max="258" width="35.140625" style="10" customWidth="1"/>
    <col min="259" max="260" width="9.140625" style="10"/>
    <col min="261" max="261" width="10.28515625" style="10" customWidth="1"/>
    <col min="262" max="262" width="9.28515625" style="10" customWidth="1"/>
    <col min="263" max="264" width="9.140625" style="10"/>
    <col min="265" max="265" width="7.140625" style="10" customWidth="1"/>
    <col min="266" max="266" width="7.28515625" style="10" customWidth="1"/>
    <col min="267" max="512" width="9.140625" style="10"/>
    <col min="513" max="513" width="6.7109375" style="10" customWidth="1"/>
    <col min="514" max="514" width="35.140625" style="10" customWidth="1"/>
    <col min="515" max="516" width="9.140625" style="10"/>
    <col min="517" max="517" width="10.28515625" style="10" customWidth="1"/>
    <col min="518" max="518" width="9.28515625" style="10" customWidth="1"/>
    <col min="519" max="520" width="9.140625" style="10"/>
    <col min="521" max="521" width="7.140625" style="10" customWidth="1"/>
    <col min="522" max="522" width="7.28515625" style="10" customWidth="1"/>
    <col min="523" max="768" width="9.140625" style="10"/>
    <col min="769" max="769" width="6.7109375" style="10" customWidth="1"/>
    <col min="770" max="770" width="35.140625" style="10" customWidth="1"/>
    <col min="771" max="772" width="9.140625" style="10"/>
    <col min="773" max="773" width="10.28515625" style="10" customWidth="1"/>
    <col min="774" max="774" width="9.28515625" style="10" customWidth="1"/>
    <col min="775" max="776" width="9.140625" style="10"/>
    <col min="777" max="777" width="7.140625" style="10" customWidth="1"/>
    <col min="778" max="778" width="7.28515625" style="10" customWidth="1"/>
    <col min="779" max="1024" width="9.140625" style="10"/>
    <col min="1025" max="1025" width="6.7109375" style="10" customWidth="1"/>
    <col min="1026" max="1026" width="35.140625" style="10" customWidth="1"/>
    <col min="1027" max="1028" width="9.140625" style="10"/>
    <col min="1029" max="1029" width="10.28515625" style="10" customWidth="1"/>
    <col min="1030" max="1030" width="9.28515625" style="10" customWidth="1"/>
    <col min="1031" max="1032" width="9.140625" style="10"/>
    <col min="1033" max="1033" width="7.140625" style="10" customWidth="1"/>
    <col min="1034" max="1034" width="7.28515625" style="10" customWidth="1"/>
    <col min="1035" max="1280" width="9.140625" style="10"/>
    <col min="1281" max="1281" width="6.7109375" style="10" customWidth="1"/>
    <col min="1282" max="1282" width="35.140625" style="10" customWidth="1"/>
    <col min="1283" max="1284" width="9.140625" style="10"/>
    <col min="1285" max="1285" width="10.28515625" style="10" customWidth="1"/>
    <col min="1286" max="1286" width="9.28515625" style="10" customWidth="1"/>
    <col min="1287" max="1288" width="9.140625" style="10"/>
    <col min="1289" max="1289" width="7.140625" style="10" customWidth="1"/>
    <col min="1290" max="1290" width="7.28515625" style="10" customWidth="1"/>
    <col min="1291" max="1536" width="9.140625" style="10"/>
    <col min="1537" max="1537" width="6.7109375" style="10" customWidth="1"/>
    <col min="1538" max="1538" width="35.140625" style="10" customWidth="1"/>
    <col min="1539" max="1540" width="9.140625" style="10"/>
    <col min="1541" max="1541" width="10.28515625" style="10" customWidth="1"/>
    <col min="1542" max="1542" width="9.28515625" style="10" customWidth="1"/>
    <col min="1543" max="1544" width="9.140625" style="10"/>
    <col min="1545" max="1545" width="7.140625" style="10" customWidth="1"/>
    <col min="1546" max="1546" width="7.28515625" style="10" customWidth="1"/>
    <col min="1547" max="1792" width="9.140625" style="10"/>
    <col min="1793" max="1793" width="6.7109375" style="10" customWidth="1"/>
    <col min="1794" max="1794" width="35.140625" style="10" customWidth="1"/>
    <col min="1795" max="1796" width="9.140625" style="10"/>
    <col min="1797" max="1797" width="10.28515625" style="10" customWidth="1"/>
    <col min="1798" max="1798" width="9.28515625" style="10" customWidth="1"/>
    <col min="1799" max="1800" width="9.140625" style="10"/>
    <col min="1801" max="1801" width="7.140625" style="10" customWidth="1"/>
    <col min="1802" max="1802" width="7.28515625" style="10" customWidth="1"/>
    <col min="1803" max="2048" width="9.140625" style="10"/>
    <col min="2049" max="2049" width="6.7109375" style="10" customWidth="1"/>
    <col min="2050" max="2050" width="35.140625" style="10" customWidth="1"/>
    <col min="2051" max="2052" width="9.140625" style="10"/>
    <col min="2053" max="2053" width="10.28515625" style="10" customWidth="1"/>
    <col min="2054" max="2054" width="9.28515625" style="10" customWidth="1"/>
    <col min="2055" max="2056" width="9.140625" style="10"/>
    <col min="2057" max="2057" width="7.140625" style="10" customWidth="1"/>
    <col min="2058" max="2058" width="7.28515625" style="10" customWidth="1"/>
    <col min="2059" max="2304" width="9.140625" style="10"/>
    <col min="2305" max="2305" width="6.7109375" style="10" customWidth="1"/>
    <col min="2306" max="2306" width="35.140625" style="10" customWidth="1"/>
    <col min="2307" max="2308" width="9.140625" style="10"/>
    <col min="2309" max="2309" width="10.28515625" style="10" customWidth="1"/>
    <col min="2310" max="2310" width="9.28515625" style="10" customWidth="1"/>
    <col min="2311" max="2312" width="9.140625" style="10"/>
    <col min="2313" max="2313" width="7.140625" style="10" customWidth="1"/>
    <col min="2314" max="2314" width="7.28515625" style="10" customWidth="1"/>
    <col min="2315" max="2560" width="9.140625" style="10"/>
    <col min="2561" max="2561" width="6.7109375" style="10" customWidth="1"/>
    <col min="2562" max="2562" width="35.140625" style="10" customWidth="1"/>
    <col min="2563" max="2564" width="9.140625" style="10"/>
    <col min="2565" max="2565" width="10.28515625" style="10" customWidth="1"/>
    <col min="2566" max="2566" width="9.28515625" style="10" customWidth="1"/>
    <col min="2567" max="2568" width="9.140625" style="10"/>
    <col min="2569" max="2569" width="7.140625" style="10" customWidth="1"/>
    <col min="2570" max="2570" width="7.28515625" style="10" customWidth="1"/>
    <col min="2571" max="2816" width="9.140625" style="10"/>
    <col min="2817" max="2817" width="6.7109375" style="10" customWidth="1"/>
    <col min="2818" max="2818" width="35.140625" style="10" customWidth="1"/>
    <col min="2819" max="2820" width="9.140625" style="10"/>
    <col min="2821" max="2821" width="10.28515625" style="10" customWidth="1"/>
    <col min="2822" max="2822" width="9.28515625" style="10" customWidth="1"/>
    <col min="2823" max="2824" width="9.140625" style="10"/>
    <col min="2825" max="2825" width="7.140625" style="10" customWidth="1"/>
    <col min="2826" max="2826" width="7.28515625" style="10" customWidth="1"/>
    <col min="2827" max="3072" width="9.140625" style="10"/>
    <col min="3073" max="3073" width="6.7109375" style="10" customWidth="1"/>
    <col min="3074" max="3074" width="35.140625" style="10" customWidth="1"/>
    <col min="3075" max="3076" width="9.140625" style="10"/>
    <col min="3077" max="3077" width="10.28515625" style="10" customWidth="1"/>
    <col min="3078" max="3078" width="9.28515625" style="10" customWidth="1"/>
    <col min="3079" max="3080" width="9.140625" style="10"/>
    <col min="3081" max="3081" width="7.140625" style="10" customWidth="1"/>
    <col min="3082" max="3082" width="7.28515625" style="10" customWidth="1"/>
    <col min="3083" max="3328" width="9.140625" style="10"/>
    <col min="3329" max="3329" width="6.7109375" style="10" customWidth="1"/>
    <col min="3330" max="3330" width="35.140625" style="10" customWidth="1"/>
    <col min="3331" max="3332" width="9.140625" style="10"/>
    <col min="3333" max="3333" width="10.28515625" style="10" customWidth="1"/>
    <col min="3334" max="3334" width="9.28515625" style="10" customWidth="1"/>
    <col min="3335" max="3336" width="9.140625" style="10"/>
    <col min="3337" max="3337" width="7.140625" style="10" customWidth="1"/>
    <col min="3338" max="3338" width="7.28515625" style="10" customWidth="1"/>
    <col min="3339" max="3584" width="9.140625" style="10"/>
    <col min="3585" max="3585" width="6.7109375" style="10" customWidth="1"/>
    <col min="3586" max="3586" width="35.140625" style="10" customWidth="1"/>
    <col min="3587" max="3588" width="9.140625" style="10"/>
    <col min="3589" max="3589" width="10.28515625" style="10" customWidth="1"/>
    <col min="3590" max="3590" width="9.28515625" style="10" customWidth="1"/>
    <col min="3591" max="3592" width="9.140625" style="10"/>
    <col min="3593" max="3593" width="7.140625" style="10" customWidth="1"/>
    <col min="3594" max="3594" width="7.28515625" style="10" customWidth="1"/>
    <col min="3595" max="3840" width="9.140625" style="10"/>
    <col min="3841" max="3841" width="6.7109375" style="10" customWidth="1"/>
    <col min="3842" max="3842" width="35.140625" style="10" customWidth="1"/>
    <col min="3843" max="3844" width="9.140625" style="10"/>
    <col min="3845" max="3845" width="10.28515625" style="10" customWidth="1"/>
    <col min="3846" max="3846" width="9.28515625" style="10" customWidth="1"/>
    <col min="3847" max="3848" width="9.140625" style="10"/>
    <col min="3849" max="3849" width="7.140625" style="10" customWidth="1"/>
    <col min="3850" max="3850" width="7.28515625" style="10" customWidth="1"/>
    <col min="3851" max="4096" width="9.140625" style="10"/>
    <col min="4097" max="4097" width="6.7109375" style="10" customWidth="1"/>
    <col min="4098" max="4098" width="35.140625" style="10" customWidth="1"/>
    <col min="4099" max="4100" width="9.140625" style="10"/>
    <col min="4101" max="4101" width="10.28515625" style="10" customWidth="1"/>
    <col min="4102" max="4102" width="9.28515625" style="10" customWidth="1"/>
    <col min="4103" max="4104" width="9.140625" style="10"/>
    <col min="4105" max="4105" width="7.140625" style="10" customWidth="1"/>
    <col min="4106" max="4106" width="7.28515625" style="10" customWidth="1"/>
    <col min="4107" max="4352" width="9.140625" style="10"/>
    <col min="4353" max="4353" width="6.7109375" style="10" customWidth="1"/>
    <col min="4354" max="4354" width="35.140625" style="10" customWidth="1"/>
    <col min="4355" max="4356" width="9.140625" style="10"/>
    <col min="4357" max="4357" width="10.28515625" style="10" customWidth="1"/>
    <col min="4358" max="4358" width="9.28515625" style="10" customWidth="1"/>
    <col min="4359" max="4360" width="9.140625" style="10"/>
    <col min="4361" max="4361" width="7.140625" style="10" customWidth="1"/>
    <col min="4362" max="4362" width="7.28515625" style="10" customWidth="1"/>
    <col min="4363" max="4608" width="9.140625" style="10"/>
    <col min="4609" max="4609" width="6.7109375" style="10" customWidth="1"/>
    <col min="4610" max="4610" width="35.140625" style="10" customWidth="1"/>
    <col min="4611" max="4612" width="9.140625" style="10"/>
    <col min="4613" max="4613" width="10.28515625" style="10" customWidth="1"/>
    <col min="4614" max="4614" width="9.28515625" style="10" customWidth="1"/>
    <col min="4615" max="4616" width="9.140625" style="10"/>
    <col min="4617" max="4617" width="7.140625" style="10" customWidth="1"/>
    <col min="4618" max="4618" width="7.28515625" style="10" customWidth="1"/>
    <col min="4619" max="4864" width="9.140625" style="10"/>
    <col min="4865" max="4865" width="6.7109375" style="10" customWidth="1"/>
    <col min="4866" max="4866" width="35.140625" style="10" customWidth="1"/>
    <col min="4867" max="4868" width="9.140625" style="10"/>
    <col min="4869" max="4869" width="10.28515625" style="10" customWidth="1"/>
    <col min="4870" max="4870" width="9.28515625" style="10" customWidth="1"/>
    <col min="4871" max="4872" width="9.140625" style="10"/>
    <col min="4873" max="4873" width="7.140625" style="10" customWidth="1"/>
    <col min="4874" max="4874" width="7.28515625" style="10" customWidth="1"/>
    <col min="4875" max="5120" width="9.140625" style="10"/>
    <col min="5121" max="5121" width="6.7109375" style="10" customWidth="1"/>
    <col min="5122" max="5122" width="35.140625" style="10" customWidth="1"/>
    <col min="5123" max="5124" width="9.140625" style="10"/>
    <col min="5125" max="5125" width="10.28515625" style="10" customWidth="1"/>
    <col min="5126" max="5126" width="9.28515625" style="10" customWidth="1"/>
    <col min="5127" max="5128" width="9.140625" style="10"/>
    <col min="5129" max="5129" width="7.140625" style="10" customWidth="1"/>
    <col min="5130" max="5130" width="7.28515625" style="10" customWidth="1"/>
    <col min="5131" max="5376" width="9.140625" style="10"/>
    <col min="5377" max="5377" width="6.7109375" style="10" customWidth="1"/>
    <col min="5378" max="5378" width="35.140625" style="10" customWidth="1"/>
    <col min="5379" max="5380" width="9.140625" style="10"/>
    <col min="5381" max="5381" width="10.28515625" style="10" customWidth="1"/>
    <col min="5382" max="5382" width="9.28515625" style="10" customWidth="1"/>
    <col min="5383" max="5384" width="9.140625" style="10"/>
    <col min="5385" max="5385" width="7.140625" style="10" customWidth="1"/>
    <col min="5386" max="5386" width="7.28515625" style="10" customWidth="1"/>
    <col min="5387" max="5632" width="9.140625" style="10"/>
    <col min="5633" max="5633" width="6.7109375" style="10" customWidth="1"/>
    <col min="5634" max="5634" width="35.140625" style="10" customWidth="1"/>
    <col min="5635" max="5636" width="9.140625" style="10"/>
    <col min="5637" max="5637" width="10.28515625" style="10" customWidth="1"/>
    <col min="5638" max="5638" width="9.28515625" style="10" customWidth="1"/>
    <col min="5639" max="5640" width="9.140625" style="10"/>
    <col min="5641" max="5641" width="7.140625" style="10" customWidth="1"/>
    <col min="5642" max="5642" width="7.28515625" style="10" customWidth="1"/>
    <col min="5643" max="5888" width="9.140625" style="10"/>
    <col min="5889" max="5889" width="6.7109375" style="10" customWidth="1"/>
    <col min="5890" max="5890" width="35.140625" style="10" customWidth="1"/>
    <col min="5891" max="5892" width="9.140625" style="10"/>
    <col min="5893" max="5893" width="10.28515625" style="10" customWidth="1"/>
    <col min="5894" max="5894" width="9.28515625" style="10" customWidth="1"/>
    <col min="5895" max="5896" width="9.140625" style="10"/>
    <col min="5897" max="5897" width="7.140625" style="10" customWidth="1"/>
    <col min="5898" max="5898" width="7.28515625" style="10" customWidth="1"/>
    <col min="5899" max="6144" width="9.140625" style="10"/>
    <col min="6145" max="6145" width="6.7109375" style="10" customWidth="1"/>
    <col min="6146" max="6146" width="35.140625" style="10" customWidth="1"/>
    <col min="6147" max="6148" width="9.140625" style="10"/>
    <col min="6149" max="6149" width="10.28515625" style="10" customWidth="1"/>
    <col min="6150" max="6150" width="9.28515625" style="10" customWidth="1"/>
    <col min="6151" max="6152" width="9.140625" style="10"/>
    <col min="6153" max="6153" width="7.140625" style="10" customWidth="1"/>
    <col min="6154" max="6154" width="7.28515625" style="10" customWidth="1"/>
    <col min="6155" max="6400" width="9.140625" style="10"/>
    <col min="6401" max="6401" width="6.7109375" style="10" customWidth="1"/>
    <col min="6402" max="6402" width="35.140625" style="10" customWidth="1"/>
    <col min="6403" max="6404" width="9.140625" style="10"/>
    <col min="6405" max="6405" width="10.28515625" style="10" customWidth="1"/>
    <col min="6406" max="6406" width="9.28515625" style="10" customWidth="1"/>
    <col min="6407" max="6408" width="9.140625" style="10"/>
    <col min="6409" max="6409" width="7.140625" style="10" customWidth="1"/>
    <col min="6410" max="6410" width="7.28515625" style="10" customWidth="1"/>
    <col min="6411" max="6656" width="9.140625" style="10"/>
    <col min="6657" max="6657" width="6.7109375" style="10" customWidth="1"/>
    <col min="6658" max="6658" width="35.140625" style="10" customWidth="1"/>
    <col min="6659" max="6660" width="9.140625" style="10"/>
    <col min="6661" max="6661" width="10.28515625" style="10" customWidth="1"/>
    <col min="6662" max="6662" width="9.28515625" style="10" customWidth="1"/>
    <col min="6663" max="6664" width="9.140625" style="10"/>
    <col min="6665" max="6665" width="7.140625" style="10" customWidth="1"/>
    <col min="6666" max="6666" width="7.28515625" style="10" customWidth="1"/>
    <col min="6667" max="6912" width="9.140625" style="10"/>
    <col min="6913" max="6913" width="6.7109375" style="10" customWidth="1"/>
    <col min="6914" max="6914" width="35.140625" style="10" customWidth="1"/>
    <col min="6915" max="6916" width="9.140625" style="10"/>
    <col min="6917" max="6917" width="10.28515625" style="10" customWidth="1"/>
    <col min="6918" max="6918" width="9.28515625" style="10" customWidth="1"/>
    <col min="6919" max="6920" width="9.140625" style="10"/>
    <col min="6921" max="6921" width="7.140625" style="10" customWidth="1"/>
    <col min="6922" max="6922" width="7.28515625" style="10" customWidth="1"/>
    <col min="6923" max="7168" width="9.140625" style="10"/>
    <col min="7169" max="7169" width="6.7109375" style="10" customWidth="1"/>
    <col min="7170" max="7170" width="35.140625" style="10" customWidth="1"/>
    <col min="7171" max="7172" width="9.140625" style="10"/>
    <col min="7173" max="7173" width="10.28515625" style="10" customWidth="1"/>
    <col min="7174" max="7174" width="9.28515625" style="10" customWidth="1"/>
    <col min="7175" max="7176" width="9.140625" style="10"/>
    <col min="7177" max="7177" width="7.140625" style="10" customWidth="1"/>
    <col min="7178" max="7178" width="7.28515625" style="10" customWidth="1"/>
    <col min="7179" max="7424" width="9.140625" style="10"/>
    <col min="7425" max="7425" width="6.7109375" style="10" customWidth="1"/>
    <col min="7426" max="7426" width="35.140625" style="10" customWidth="1"/>
    <col min="7427" max="7428" width="9.140625" style="10"/>
    <col min="7429" max="7429" width="10.28515625" style="10" customWidth="1"/>
    <col min="7430" max="7430" width="9.28515625" style="10" customWidth="1"/>
    <col min="7431" max="7432" width="9.140625" style="10"/>
    <col min="7433" max="7433" width="7.140625" style="10" customWidth="1"/>
    <col min="7434" max="7434" width="7.28515625" style="10" customWidth="1"/>
    <col min="7435" max="7680" width="9.140625" style="10"/>
    <col min="7681" max="7681" width="6.7109375" style="10" customWidth="1"/>
    <col min="7682" max="7682" width="35.140625" style="10" customWidth="1"/>
    <col min="7683" max="7684" width="9.140625" style="10"/>
    <col min="7685" max="7685" width="10.28515625" style="10" customWidth="1"/>
    <col min="7686" max="7686" width="9.28515625" style="10" customWidth="1"/>
    <col min="7687" max="7688" width="9.140625" style="10"/>
    <col min="7689" max="7689" width="7.140625" style="10" customWidth="1"/>
    <col min="7690" max="7690" width="7.28515625" style="10" customWidth="1"/>
    <col min="7691" max="7936" width="9.140625" style="10"/>
    <col min="7937" max="7937" width="6.7109375" style="10" customWidth="1"/>
    <col min="7938" max="7938" width="35.140625" style="10" customWidth="1"/>
    <col min="7939" max="7940" width="9.140625" style="10"/>
    <col min="7941" max="7941" width="10.28515625" style="10" customWidth="1"/>
    <col min="7942" max="7942" width="9.28515625" style="10" customWidth="1"/>
    <col min="7943" max="7944" width="9.140625" style="10"/>
    <col min="7945" max="7945" width="7.140625" style="10" customWidth="1"/>
    <col min="7946" max="7946" width="7.28515625" style="10" customWidth="1"/>
    <col min="7947" max="8192" width="9.140625" style="10"/>
    <col min="8193" max="8193" width="6.7109375" style="10" customWidth="1"/>
    <col min="8194" max="8194" width="35.140625" style="10" customWidth="1"/>
    <col min="8195" max="8196" width="9.140625" style="10"/>
    <col min="8197" max="8197" width="10.28515625" style="10" customWidth="1"/>
    <col min="8198" max="8198" width="9.28515625" style="10" customWidth="1"/>
    <col min="8199" max="8200" width="9.140625" style="10"/>
    <col min="8201" max="8201" width="7.140625" style="10" customWidth="1"/>
    <col min="8202" max="8202" width="7.28515625" style="10" customWidth="1"/>
    <col min="8203" max="8448" width="9.140625" style="10"/>
    <col min="8449" max="8449" width="6.7109375" style="10" customWidth="1"/>
    <col min="8450" max="8450" width="35.140625" style="10" customWidth="1"/>
    <col min="8451" max="8452" width="9.140625" style="10"/>
    <col min="8453" max="8453" width="10.28515625" style="10" customWidth="1"/>
    <col min="8454" max="8454" width="9.28515625" style="10" customWidth="1"/>
    <col min="8455" max="8456" width="9.140625" style="10"/>
    <col min="8457" max="8457" width="7.140625" style="10" customWidth="1"/>
    <col min="8458" max="8458" width="7.28515625" style="10" customWidth="1"/>
    <col min="8459" max="8704" width="9.140625" style="10"/>
    <col min="8705" max="8705" width="6.7109375" style="10" customWidth="1"/>
    <col min="8706" max="8706" width="35.140625" style="10" customWidth="1"/>
    <col min="8707" max="8708" width="9.140625" style="10"/>
    <col min="8709" max="8709" width="10.28515625" style="10" customWidth="1"/>
    <col min="8710" max="8710" width="9.28515625" style="10" customWidth="1"/>
    <col min="8711" max="8712" width="9.140625" style="10"/>
    <col min="8713" max="8713" width="7.140625" style="10" customWidth="1"/>
    <col min="8714" max="8714" width="7.28515625" style="10" customWidth="1"/>
    <col min="8715" max="8960" width="9.140625" style="10"/>
    <col min="8961" max="8961" width="6.7109375" style="10" customWidth="1"/>
    <col min="8962" max="8962" width="35.140625" style="10" customWidth="1"/>
    <col min="8963" max="8964" width="9.140625" style="10"/>
    <col min="8965" max="8965" width="10.28515625" style="10" customWidth="1"/>
    <col min="8966" max="8966" width="9.28515625" style="10" customWidth="1"/>
    <col min="8967" max="8968" width="9.140625" style="10"/>
    <col min="8969" max="8969" width="7.140625" style="10" customWidth="1"/>
    <col min="8970" max="8970" width="7.28515625" style="10" customWidth="1"/>
    <col min="8971" max="9216" width="9.140625" style="10"/>
    <col min="9217" max="9217" width="6.7109375" style="10" customWidth="1"/>
    <col min="9218" max="9218" width="35.140625" style="10" customWidth="1"/>
    <col min="9219" max="9220" width="9.140625" style="10"/>
    <col min="9221" max="9221" width="10.28515625" style="10" customWidth="1"/>
    <col min="9222" max="9222" width="9.28515625" style="10" customWidth="1"/>
    <col min="9223" max="9224" width="9.140625" style="10"/>
    <col min="9225" max="9225" width="7.140625" style="10" customWidth="1"/>
    <col min="9226" max="9226" width="7.28515625" style="10" customWidth="1"/>
    <col min="9227" max="9472" width="9.140625" style="10"/>
    <col min="9473" max="9473" width="6.7109375" style="10" customWidth="1"/>
    <col min="9474" max="9474" width="35.140625" style="10" customWidth="1"/>
    <col min="9475" max="9476" width="9.140625" style="10"/>
    <col min="9477" max="9477" width="10.28515625" style="10" customWidth="1"/>
    <col min="9478" max="9478" width="9.28515625" style="10" customWidth="1"/>
    <col min="9479" max="9480" width="9.140625" style="10"/>
    <col min="9481" max="9481" width="7.140625" style="10" customWidth="1"/>
    <col min="9482" max="9482" width="7.28515625" style="10" customWidth="1"/>
    <col min="9483" max="9728" width="9.140625" style="10"/>
    <col min="9729" max="9729" width="6.7109375" style="10" customWidth="1"/>
    <col min="9730" max="9730" width="35.140625" style="10" customWidth="1"/>
    <col min="9731" max="9732" width="9.140625" style="10"/>
    <col min="9733" max="9733" width="10.28515625" style="10" customWidth="1"/>
    <col min="9734" max="9734" width="9.28515625" style="10" customWidth="1"/>
    <col min="9735" max="9736" width="9.140625" style="10"/>
    <col min="9737" max="9737" width="7.140625" style="10" customWidth="1"/>
    <col min="9738" max="9738" width="7.28515625" style="10" customWidth="1"/>
    <col min="9739" max="9984" width="9.140625" style="10"/>
    <col min="9985" max="9985" width="6.7109375" style="10" customWidth="1"/>
    <col min="9986" max="9986" width="35.140625" style="10" customWidth="1"/>
    <col min="9987" max="9988" width="9.140625" style="10"/>
    <col min="9989" max="9989" width="10.28515625" style="10" customWidth="1"/>
    <col min="9990" max="9990" width="9.28515625" style="10" customWidth="1"/>
    <col min="9991" max="9992" width="9.140625" style="10"/>
    <col min="9993" max="9993" width="7.140625" style="10" customWidth="1"/>
    <col min="9994" max="9994" width="7.28515625" style="10" customWidth="1"/>
    <col min="9995" max="10240" width="9.140625" style="10"/>
    <col min="10241" max="10241" width="6.7109375" style="10" customWidth="1"/>
    <col min="10242" max="10242" width="35.140625" style="10" customWidth="1"/>
    <col min="10243" max="10244" width="9.140625" style="10"/>
    <col min="10245" max="10245" width="10.28515625" style="10" customWidth="1"/>
    <col min="10246" max="10246" width="9.28515625" style="10" customWidth="1"/>
    <col min="10247" max="10248" width="9.140625" style="10"/>
    <col min="10249" max="10249" width="7.140625" style="10" customWidth="1"/>
    <col min="10250" max="10250" width="7.28515625" style="10" customWidth="1"/>
    <col min="10251" max="10496" width="9.140625" style="10"/>
    <col min="10497" max="10497" width="6.7109375" style="10" customWidth="1"/>
    <col min="10498" max="10498" width="35.140625" style="10" customWidth="1"/>
    <col min="10499" max="10500" width="9.140625" style="10"/>
    <col min="10501" max="10501" width="10.28515625" style="10" customWidth="1"/>
    <col min="10502" max="10502" width="9.28515625" style="10" customWidth="1"/>
    <col min="10503" max="10504" width="9.140625" style="10"/>
    <col min="10505" max="10505" width="7.140625" style="10" customWidth="1"/>
    <col min="10506" max="10506" width="7.28515625" style="10" customWidth="1"/>
    <col min="10507" max="10752" width="9.140625" style="10"/>
    <col min="10753" max="10753" width="6.7109375" style="10" customWidth="1"/>
    <col min="10754" max="10754" width="35.140625" style="10" customWidth="1"/>
    <col min="10755" max="10756" width="9.140625" style="10"/>
    <col min="10757" max="10757" width="10.28515625" style="10" customWidth="1"/>
    <col min="10758" max="10758" width="9.28515625" style="10" customWidth="1"/>
    <col min="10759" max="10760" width="9.140625" style="10"/>
    <col min="10761" max="10761" width="7.140625" style="10" customWidth="1"/>
    <col min="10762" max="10762" width="7.28515625" style="10" customWidth="1"/>
    <col min="10763" max="11008" width="9.140625" style="10"/>
    <col min="11009" max="11009" width="6.7109375" style="10" customWidth="1"/>
    <col min="11010" max="11010" width="35.140625" style="10" customWidth="1"/>
    <col min="11011" max="11012" width="9.140625" style="10"/>
    <col min="11013" max="11013" width="10.28515625" style="10" customWidth="1"/>
    <col min="11014" max="11014" width="9.28515625" style="10" customWidth="1"/>
    <col min="11015" max="11016" width="9.140625" style="10"/>
    <col min="11017" max="11017" width="7.140625" style="10" customWidth="1"/>
    <col min="11018" max="11018" width="7.28515625" style="10" customWidth="1"/>
    <col min="11019" max="11264" width="9.140625" style="10"/>
    <col min="11265" max="11265" width="6.7109375" style="10" customWidth="1"/>
    <col min="11266" max="11266" width="35.140625" style="10" customWidth="1"/>
    <col min="11267" max="11268" width="9.140625" style="10"/>
    <col min="11269" max="11269" width="10.28515625" style="10" customWidth="1"/>
    <col min="11270" max="11270" width="9.28515625" style="10" customWidth="1"/>
    <col min="11271" max="11272" width="9.140625" style="10"/>
    <col min="11273" max="11273" width="7.140625" style="10" customWidth="1"/>
    <col min="11274" max="11274" width="7.28515625" style="10" customWidth="1"/>
    <col min="11275" max="11520" width="9.140625" style="10"/>
    <col min="11521" max="11521" width="6.7109375" style="10" customWidth="1"/>
    <col min="11522" max="11522" width="35.140625" style="10" customWidth="1"/>
    <col min="11523" max="11524" width="9.140625" style="10"/>
    <col min="11525" max="11525" width="10.28515625" style="10" customWidth="1"/>
    <col min="11526" max="11526" width="9.28515625" style="10" customWidth="1"/>
    <col min="11527" max="11528" width="9.140625" style="10"/>
    <col min="11529" max="11529" width="7.140625" style="10" customWidth="1"/>
    <col min="11530" max="11530" width="7.28515625" style="10" customWidth="1"/>
    <col min="11531" max="11776" width="9.140625" style="10"/>
    <col min="11777" max="11777" width="6.7109375" style="10" customWidth="1"/>
    <col min="11778" max="11778" width="35.140625" style="10" customWidth="1"/>
    <col min="11779" max="11780" width="9.140625" style="10"/>
    <col min="11781" max="11781" width="10.28515625" style="10" customWidth="1"/>
    <col min="11782" max="11782" width="9.28515625" style="10" customWidth="1"/>
    <col min="11783" max="11784" width="9.140625" style="10"/>
    <col min="11785" max="11785" width="7.140625" style="10" customWidth="1"/>
    <col min="11786" max="11786" width="7.28515625" style="10" customWidth="1"/>
    <col min="11787" max="12032" width="9.140625" style="10"/>
    <col min="12033" max="12033" width="6.7109375" style="10" customWidth="1"/>
    <col min="12034" max="12034" width="35.140625" style="10" customWidth="1"/>
    <col min="12035" max="12036" width="9.140625" style="10"/>
    <col min="12037" max="12037" width="10.28515625" style="10" customWidth="1"/>
    <col min="12038" max="12038" width="9.28515625" style="10" customWidth="1"/>
    <col min="12039" max="12040" width="9.140625" style="10"/>
    <col min="12041" max="12041" width="7.140625" style="10" customWidth="1"/>
    <col min="12042" max="12042" width="7.28515625" style="10" customWidth="1"/>
    <col min="12043" max="12288" width="9.140625" style="10"/>
    <col min="12289" max="12289" width="6.7109375" style="10" customWidth="1"/>
    <col min="12290" max="12290" width="35.140625" style="10" customWidth="1"/>
    <col min="12291" max="12292" width="9.140625" style="10"/>
    <col min="12293" max="12293" width="10.28515625" style="10" customWidth="1"/>
    <col min="12294" max="12294" width="9.28515625" style="10" customWidth="1"/>
    <col min="12295" max="12296" width="9.140625" style="10"/>
    <col min="12297" max="12297" width="7.140625" style="10" customWidth="1"/>
    <col min="12298" max="12298" width="7.28515625" style="10" customWidth="1"/>
    <col min="12299" max="12544" width="9.140625" style="10"/>
    <col min="12545" max="12545" width="6.7109375" style="10" customWidth="1"/>
    <col min="12546" max="12546" width="35.140625" style="10" customWidth="1"/>
    <col min="12547" max="12548" width="9.140625" style="10"/>
    <col min="12549" max="12549" width="10.28515625" style="10" customWidth="1"/>
    <col min="12550" max="12550" width="9.28515625" style="10" customWidth="1"/>
    <col min="12551" max="12552" width="9.140625" style="10"/>
    <col min="12553" max="12553" width="7.140625" style="10" customWidth="1"/>
    <col min="12554" max="12554" width="7.28515625" style="10" customWidth="1"/>
    <col min="12555" max="12800" width="9.140625" style="10"/>
    <col min="12801" max="12801" width="6.7109375" style="10" customWidth="1"/>
    <col min="12802" max="12802" width="35.140625" style="10" customWidth="1"/>
    <col min="12803" max="12804" width="9.140625" style="10"/>
    <col min="12805" max="12805" width="10.28515625" style="10" customWidth="1"/>
    <col min="12806" max="12806" width="9.28515625" style="10" customWidth="1"/>
    <col min="12807" max="12808" width="9.140625" style="10"/>
    <col min="12809" max="12809" width="7.140625" style="10" customWidth="1"/>
    <col min="12810" max="12810" width="7.28515625" style="10" customWidth="1"/>
    <col min="12811" max="13056" width="9.140625" style="10"/>
    <col min="13057" max="13057" width="6.7109375" style="10" customWidth="1"/>
    <col min="13058" max="13058" width="35.140625" style="10" customWidth="1"/>
    <col min="13059" max="13060" width="9.140625" style="10"/>
    <col min="13061" max="13061" width="10.28515625" style="10" customWidth="1"/>
    <col min="13062" max="13062" width="9.28515625" style="10" customWidth="1"/>
    <col min="13063" max="13064" width="9.140625" style="10"/>
    <col min="13065" max="13065" width="7.140625" style="10" customWidth="1"/>
    <col min="13066" max="13066" width="7.28515625" style="10" customWidth="1"/>
    <col min="13067" max="13312" width="9.140625" style="10"/>
    <col min="13313" max="13313" width="6.7109375" style="10" customWidth="1"/>
    <col min="13314" max="13314" width="35.140625" style="10" customWidth="1"/>
    <col min="13315" max="13316" width="9.140625" style="10"/>
    <col min="13317" max="13317" width="10.28515625" style="10" customWidth="1"/>
    <col min="13318" max="13318" width="9.28515625" style="10" customWidth="1"/>
    <col min="13319" max="13320" width="9.140625" style="10"/>
    <col min="13321" max="13321" width="7.140625" style="10" customWidth="1"/>
    <col min="13322" max="13322" width="7.28515625" style="10" customWidth="1"/>
    <col min="13323" max="13568" width="9.140625" style="10"/>
    <col min="13569" max="13569" width="6.7109375" style="10" customWidth="1"/>
    <col min="13570" max="13570" width="35.140625" style="10" customWidth="1"/>
    <col min="13571" max="13572" width="9.140625" style="10"/>
    <col min="13573" max="13573" width="10.28515625" style="10" customWidth="1"/>
    <col min="13574" max="13574" width="9.28515625" style="10" customWidth="1"/>
    <col min="13575" max="13576" width="9.140625" style="10"/>
    <col min="13577" max="13577" width="7.140625" style="10" customWidth="1"/>
    <col min="13578" max="13578" width="7.28515625" style="10" customWidth="1"/>
    <col min="13579" max="13824" width="9.140625" style="10"/>
    <col min="13825" max="13825" width="6.7109375" style="10" customWidth="1"/>
    <col min="13826" max="13826" width="35.140625" style="10" customWidth="1"/>
    <col min="13827" max="13828" width="9.140625" style="10"/>
    <col min="13829" max="13829" width="10.28515625" style="10" customWidth="1"/>
    <col min="13830" max="13830" width="9.28515625" style="10" customWidth="1"/>
    <col min="13831" max="13832" width="9.140625" style="10"/>
    <col min="13833" max="13833" width="7.140625" style="10" customWidth="1"/>
    <col min="13834" max="13834" width="7.28515625" style="10" customWidth="1"/>
    <col min="13835" max="14080" width="9.140625" style="10"/>
    <col min="14081" max="14081" width="6.7109375" style="10" customWidth="1"/>
    <col min="14082" max="14082" width="35.140625" style="10" customWidth="1"/>
    <col min="14083" max="14084" width="9.140625" style="10"/>
    <col min="14085" max="14085" width="10.28515625" style="10" customWidth="1"/>
    <col min="14086" max="14086" width="9.28515625" style="10" customWidth="1"/>
    <col min="14087" max="14088" width="9.140625" style="10"/>
    <col min="14089" max="14089" width="7.140625" style="10" customWidth="1"/>
    <col min="14090" max="14090" width="7.28515625" style="10" customWidth="1"/>
    <col min="14091" max="14336" width="9.140625" style="10"/>
    <col min="14337" max="14337" width="6.7109375" style="10" customWidth="1"/>
    <col min="14338" max="14338" width="35.140625" style="10" customWidth="1"/>
    <col min="14339" max="14340" width="9.140625" style="10"/>
    <col min="14341" max="14341" width="10.28515625" style="10" customWidth="1"/>
    <col min="14342" max="14342" width="9.28515625" style="10" customWidth="1"/>
    <col min="14343" max="14344" width="9.140625" style="10"/>
    <col min="14345" max="14345" width="7.140625" style="10" customWidth="1"/>
    <col min="14346" max="14346" width="7.28515625" style="10" customWidth="1"/>
    <col min="14347" max="14592" width="9.140625" style="10"/>
    <col min="14593" max="14593" width="6.7109375" style="10" customWidth="1"/>
    <col min="14594" max="14594" width="35.140625" style="10" customWidth="1"/>
    <col min="14595" max="14596" width="9.140625" style="10"/>
    <col min="14597" max="14597" width="10.28515625" style="10" customWidth="1"/>
    <col min="14598" max="14598" width="9.28515625" style="10" customWidth="1"/>
    <col min="14599" max="14600" width="9.140625" style="10"/>
    <col min="14601" max="14601" width="7.140625" style="10" customWidth="1"/>
    <col min="14602" max="14602" width="7.28515625" style="10" customWidth="1"/>
    <col min="14603" max="14848" width="9.140625" style="10"/>
    <col min="14849" max="14849" width="6.7109375" style="10" customWidth="1"/>
    <col min="14850" max="14850" width="35.140625" style="10" customWidth="1"/>
    <col min="14851" max="14852" width="9.140625" style="10"/>
    <col min="14853" max="14853" width="10.28515625" style="10" customWidth="1"/>
    <col min="14854" max="14854" width="9.28515625" style="10" customWidth="1"/>
    <col min="14855" max="14856" width="9.140625" style="10"/>
    <col min="14857" max="14857" width="7.140625" style="10" customWidth="1"/>
    <col min="14858" max="14858" width="7.28515625" style="10" customWidth="1"/>
    <col min="14859" max="15104" width="9.140625" style="10"/>
    <col min="15105" max="15105" width="6.7109375" style="10" customWidth="1"/>
    <col min="15106" max="15106" width="35.140625" style="10" customWidth="1"/>
    <col min="15107" max="15108" width="9.140625" style="10"/>
    <col min="15109" max="15109" width="10.28515625" style="10" customWidth="1"/>
    <col min="15110" max="15110" width="9.28515625" style="10" customWidth="1"/>
    <col min="15111" max="15112" width="9.140625" style="10"/>
    <col min="15113" max="15113" width="7.140625" style="10" customWidth="1"/>
    <col min="15114" max="15114" width="7.28515625" style="10" customWidth="1"/>
    <col min="15115" max="15360" width="9.140625" style="10"/>
    <col min="15361" max="15361" width="6.7109375" style="10" customWidth="1"/>
    <col min="15362" max="15362" width="35.140625" style="10" customWidth="1"/>
    <col min="15363" max="15364" width="9.140625" style="10"/>
    <col min="15365" max="15365" width="10.28515625" style="10" customWidth="1"/>
    <col min="15366" max="15366" width="9.28515625" style="10" customWidth="1"/>
    <col min="15367" max="15368" width="9.140625" style="10"/>
    <col min="15369" max="15369" width="7.140625" style="10" customWidth="1"/>
    <col min="15370" max="15370" width="7.28515625" style="10" customWidth="1"/>
    <col min="15371" max="15616" width="9.140625" style="10"/>
    <col min="15617" max="15617" width="6.7109375" style="10" customWidth="1"/>
    <col min="15618" max="15618" width="35.140625" style="10" customWidth="1"/>
    <col min="15619" max="15620" width="9.140625" style="10"/>
    <col min="15621" max="15621" width="10.28515625" style="10" customWidth="1"/>
    <col min="15622" max="15622" width="9.28515625" style="10" customWidth="1"/>
    <col min="15623" max="15624" width="9.140625" style="10"/>
    <col min="15625" max="15625" width="7.140625" style="10" customWidth="1"/>
    <col min="15626" max="15626" width="7.28515625" style="10" customWidth="1"/>
    <col min="15627" max="15872" width="9.140625" style="10"/>
    <col min="15873" max="15873" width="6.7109375" style="10" customWidth="1"/>
    <col min="15874" max="15874" width="35.140625" style="10" customWidth="1"/>
    <col min="15875" max="15876" width="9.140625" style="10"/>
    <col min="15877" max="15877" width="10.28515625" style="10" customWidth="1"/>
    <col min="15878" max="15878" width="9.28515625" style="10" customWidth="1"/>
    <col min="15879" max="15880" width="9.140625" style="10"/>
    <col min="15881" max="15881" width="7.140625" style="10" customWidth="1"/>
    <col min="15882" max="15882" width="7.28515625" style="10" customWidth="1"/>
    <col min="15883" max="16128" width="9.140625" style="10"/>
    <col min="16129" max="16129" width="6.7109375" style="10" customWidth="1"/>
    <col min="16130" max="16130" width="35.140625" style="10" customWidth="1"/>
    <col min="16131" max="16132" width="9.140625" style="10"/>
    <col min="16133" max="16133" width="10.28515625" style="10" customWidth="1"/>
    <col min="16134" max="16134" width="9.28515625" style="10" customWidth="1"/>
    <col min="16135" max="16136" width="9.140625" style="10"/>
    <col min="16137" max="16137" width="7.140625" style="10" customWidth="1"/>
    <col min="16138" max="16138" width="7.28515625" style="10" customWidth="1"/>
    <col min="16139" max="16384" width="9.140625" style="10"/>
  </cols>
  <sheetData>
    <row r="1" spans="1:10" s="244" customFormat="1" ht="18.75" customHeight="1" x14ac:dyDescent="0.25">
      <c r="A1" s="3429"/>
      <c r="B1" s="3429"/>
      <c r="C1" s="2401"/>
      <c r="D1" s="2401"/>
      <c r="E1" s="2401"/>
      <c r="F1" s="2401"/>
      <c r="G1" s="2401"/>
      <c r="H1" s="2401"/>
      <c r="I1" s="3431" t="s">
        <v>1137</v>
      </c>
      <c r="J1" s="3431"/>
    </row>
    <row r="2" spans="1:10" s="244" customFormat="1" ht="19.5" customHeight="1" x14ac:dyDescent="0.25">
      <c r="A2" s="3171" t="s">
        <v>2085</v>
      </c>
      <c r="B2" s="3171"/>
      <c r="C2" s="3171"/>
      <c r="D2" s="3171"/>
      <c r="E2" s="3171"/>
      <c r="F2" s="3171"/>
      <c r="G2" s="3171"/>
      <c r="H2" s="3171"/>
      <c r="I2" s="3171"/>
      <c r="J2" s="3171"/>
    </row>
    <row r="3" spans="1:10" s="1297" customFormat="1" ht="15.75" customHeight="1" x14ac:dyDescent="0.25">
      <c r="A3" s="3253" t="str">
        <f>'MS 06'!A3:F3</f>
        <v>(Kèm theo Quyết định số          /QĐ-UBND ngày          /4/2026 của UBND phường Bắc Kạn)</v>
      </c>
      <c r="B3" s="3253"/>
      <c r="C3" s="3253"/>
      <c r="D3" s="3253"/>
      <c r="E3" s="3253"/>
      <c r="F3" s="3253"/>
      <c r="G3" s="3253"/>
      <c r="H3" s="3253"/>
      <c r="I3" s="3253"/>
      <c r="J3" s="3253"/>
    </row>
    <row r="4" spans="1:10" x14ac:dyDescent="0.25">
      <c r="G4" s="2402"/>
      <c r="H4" s="3430" t="s">
        <v>982</v>
      </c>
      <c r="I4" s="3430"/>
      <c r="J4" s="3430"/>
    </row>
    <row r="5" spans="1:10" s="244" customFormat="1" ht="24.75" customHeight="1" x14ac:dyDescent="0.25">
      <c r="A5" s="3423" t="s">
        <v>0</v>
      </c>
      <c r="B5" s="3136" t="s">
        <v>1</v>
      </c>
      <c r="C5" s="3420" t="s">
        <v>13</v>
      </c>
      <c r="D5" s="3422"/>
      <c r="E5" s="3420" t="s">
        <v>47</v>
      </c>
      <c r="F5" s="3421"/>
      <c r="G5" s="3421"/>
      <c r="H5" s="3421"/>
      <c r="I5" s="3421"/>
      <c r="J5" s="3422"/>
    </row>
    <row r="6" spans="1:10" s="244" customFormat="1" ht="19.5" customHeight="1" x14ac:dyDescent="0.25">
      <c r="A6" s="3424"/>
      <c r="B6" s="3223"/>
      <c r="C6" s="3428" t="s">
        <v>1138</v>
      </c>
      <c r="D6" s="3428" t="s">
        <v>1139</v>
      </c>
      <c r="E6" s="3428" t="s">
        <v>1140</v>
      </c>
      <c r="F6" s="3428"/>
      <c r="G6" s="3428" t="s">
        <v>1141</v>
      </c>
      <c r="H6" s="3428"/>
      <c r="I6" s="3420" t="s">
        <v>1142</v>
      </c>
      <c r="J6" s="3422"/>
    </row>
    <row r="7" spans="1:10" s="244" customFormat="1" ht="36" customHeight="1" x14ac:dyDescent="0.25">
      <c r="A7" s="3425"/>
      <c r="B7" s="3137"/>
      <c r="C7" s="3428"/>
      <c r="D7" s="3428"/>
      <c r="E7" s="1809" t="s">
        <v>1138</v>
      </c>
      <c r="F7" s="1809" t="s">
        <v>1139</v>
      </c>
      <c r="G7" s="1809" t="s">
        <v>1138</v>
      </c>
      <c r="H7" s="1809" t="s">
        <v>1139</v>
      </c>
      <c r="I7" s="1809" t="s">
        <v>1143</v>
      </c>
      <c r="J7" s="1809" t="s">
        <v>1142</v>
      </c>
    </row>
    <row r="8" spans="1:10" s="204" customFormat="1" ht="19.5" customHeight="1" x14ac:dyDescent="0.25">
      <c r="A8" s="245" t="s">
        <v>3</v>
      </c>
      <c r="B8" s="245" t="s">
        <v>4</v>
      </c>
      <c r="C8" s="1630">
        <v>1</v>
      </c>
      <c r="D8" s="1630">
        <v>2</v>
      </c>
      <c r="E8" s="1630">
        <v>3</v>
      </c>
      <c r="F8" s="1630">
        <v>4</v>
      </c>
      <c r="G8" s="1630">
        <v>5</v>
      </c>
      <c r="H8" s="1630">
        <v>6</v>
      </c>
      <c r="I8" s="1630"/>
      <c r="J8" s="1630" t="s">
        <v>1143</v>
      </c>
    </row>
    <row r="9" spans="1:10" s="244" customFormat="1" ht="24.75" customHeight="1" x14ac:dyDescent="0.25">
      <c r="A9" s="415" t="s">
        <v>5</v>
      </c>
      <c r="B9" s="416" t="s">
        <v>1144</v>
      </c>
      <c r="C9" s="2403"/>
      <c r="D9" s="2403">
        <f>D11</f>
        <v>500799.5</v>
      </c>
      <c r="E9" s="2403"/>
      <c r="F9" s="2403"/>
      <c r="G9" s="2403"/>
      <c r="H9" s="2403"/>
      <c r="I9" s="2403"/>
      <c r="J9" s="2403"/>
    </row>
    <row r="10" spans="1:10" ht="24.75" customHeight="1" x14ac:dyDescent="0.25">
      <c r="A10" s="68">
        <v>1</v>
      </c>
      <c r="B10" s="69" t="s">
        <v>1145</v>
      </c>
      <c r="C10" s="1815"/>
      <c r="D10" s="1815"/>
      <c r="E10" s="1815"/>
      <c r="F10" s="1815"/>
      <c r="G10" s="1815"/>
      <c r="H10" s="1815"/>
      <c r="I10" s="1815"/>
      <c r="J10" s="1815"/>
    </row>
    <row r="11" spans="1:10" ht="24.75" customHeight="1" x14ac:dyDescent="0.25">
      <c r="A11" s="68">
        <v>2</v>
      </c>
      <c r="B11" s="69" t="s">
        <v>2087</v>
      </c>
      <c r="C11" s="1815"/>
      <c r="D11" s="1815">
        <v>500799.5</v>
      </c>
      <c r="E11" s="1815"/>
      <c r="F11" s="1815"/>
      <c r="G11" s="1815"/>
      <c r="H11" s="1815"/>
      <c r="I11" s="1815"/>
      <c r="J11" s="1815"/>
    </row>
    <row r="12" spans="1:10" s="244" customFormat="1" ht="24.75" customHeight="1" x14ac:dyDescent="0.25">
      <c r="A12" s="65" t="s">
        <v>11</v>
      </c>
      <c r="B12" s="66" t="s">
        <v>110</v>
      </c>
      <c r="C12" s="2404"/>
      <c r="D12" s="2404">
        <f>D16</f>
        <v>500799.5</v>
      </c>
      <c r="E12" s="2404"/>
      <c r="F12" s="2404"/>
      <c r="G12" s="2404"/>
      <c r="H12" s="2404"/>
      <c r="I12" s="2404"/>
      <c r="J12" s="2404"/>
    </row>
    <row r="13" spans="1:10" ht="36.75" customHeight="1" x14ac:dyDescent="0.25">
      <c r="A13" s="68">
        <v>1</v>
      </c>
      <c r="B13" s="69" t="s">
        <v>1146</v>
      </c>
      <c r="C13" s="1815"/>
      <c r="D13" s="1815"/>
      <c r="E13" s="1815"/>
      <c r="F13" s="1815"/>
      <c r="G13" s="1815"/>
      <c r="H13" s="1815"/>
      <c r="I13" s="1815"/>
      <c r="J13" s="1815"/>
    </row>
    <row r="14" spans="1:10" ht="24.75" hidden="1" customHeight="1" x14ac:dyDescent="0.25">
      <c r="A14" s="68" t="s">
        <v>1000</v>
      </c>
      <c r="B14" s="69"/>
      <c r="C14" s="1815"/>
      <c r="D14" s="1815"/>
      <c r="E14" s="1815"/>
      <c r="F14" s="1815"/>
      <c r="G14" s="1815"/>
      <c r="H14" s="1815"/>
      <c r="I14" s="1815"/>
      <c r="J14" s="1815"/>
    </row>
    <row r="15" spans="1:10" ht="24.75" hidden="1" customHeight="1" x14ac:dyDescent="0.25">
      <c r="A15" s="68" t="s">
        <v>1000</v>
      </c>
      <c r="B15" s="69" t="s">
        <v>1062</v>
      </c>
      <c r="C15" s="1815"/>
      <c r="D15" s="1815"/>
      <c r="E15" s="1815"/>
      <c r="F15" s="1815"/>
      <c r="G15" s="1815"/>
      <c r="H15" s="1815"/>
      <c r="I15" s="1815"/>
      <c r="J15" s="1815"/>
    </row>
    <row r="16" spans="1:10" ht="24.75" customHeight="1" x14ac:dyDescent="0.25">
      <c r="A16" s="845">
        <v>2</v>
      </c>
      <c r="B16" s="846" t="s">
        <v>1148</v>
      </c>
      <c r="C16" s="2405"/>
      <c r="D16" s="2405">
        <f>D17</f>
        <v>500799.5</v>
      </c>
      <c r="E16" s="2405"/>
      <c r="F16" s="2405"/>
      <c r="G16" s="2405"/>
      <c r="H16" s="2405"/>
      <c r="I16" s="2405"/>
      <c r="J16" s="2405"/>
    </row>
    <row r="17" spans="1:11" ht="24.75" hidden="1" customHeight="1" x14ac:dyDescent="0.25">
      <c r="A17" s="684"/>
      <c r="B17" s="774" t="s">
        <v>1147</v>
      </c>
      <c r="C17" s="1813"/>
      <c r="D17" s="1813">
        <v>500799.5</v>
      </c>
      <c r="E17" s="1813"/>
      <c r="F17" s="1813"/>
      <c r="G17" s="1813"/>
      <c r="H17" s="1813"/>
      <c r="I17" s="1813"/>
      <c r="J17" s="1813"/>
    </row>
    <row r="18" spans="1:11" ht="24.75" hidden="1" customHeight="1" x14ac:dyDescent="0.25">
      <c r="A18" s="845" t="s">
        <v>1000</v>
      </c>
      <c r="B18" s="846"/>
      <c r="C18" s="2405"/>
      <c r="D18" s="2405"/>
      <c r="E18" s="2405"/>
      <c r="F18" s="2405"/>
      <c r="G18" s="2405"/>
      <c r="H18" s="2405"/>
      <c r="I18" s="2405"/>
      <c r="J18" s="2405"/>
    </row>
    <row r="19" spans="1:11" ht="10.5" customHeight="1" x14ac:dyDescent="0.25">
      <c r="B19" s="20"/>
    </row>
    <row r="20" spans="1:11" s="1301" customFormat="1" ht="22.5" customHeight="1" x14ac:dyDescent="0.25">
      <c r="A20" s="1298"/>
      <c r="B20" s="1299"/>
      <c r="C20" s="2406"/>
      <c r="D20" s="2406"/>
      <c r="E20" s="2411"/>
      <c r="F20" s="3427" t="s">
        <v>2348</v>
      </c>
      <c r="G20" s="3427"/>
      <c r="H20" s="3427"/>
      <c r="I20" s="3427"/>
      <c r="J20" s="3427"/>
      <c r="K20" s="1300"/>
    </row>
    <row r="21" spans="1:11" s="1303" customFormat="1" ht="34.5" customHeight="1" x14ac:dyDescent="0.25">
      <c r="A21" s="1302"/>
      <c r="B21" s="1299"/>
      <c r="C21" s="2406"/>
      <c r="D21" s="2406"/>
      <c r="E21" s="2406"/>
      <c r="F21" s="3426" t="s">
        <v>1075</v>
      </c>
      <c r="G21" s="3426"/>
      <c r="H21" s="3426"/>
      <c r="I21" s="3426"/>
      <c r="J21" s="3426"/>
    </row>
    <row r="22" spans="1:11" s="1303" customFormat="1" ht="22.5" customHeight="1" x14ac:dyDescent="0.25">
      <c r="A22" s="1302"/>
      <c r="B22" s="1299"/>
      <c r="C22" s="2406"/>
      <c r="D22" s="2406"/>
      <c r="E22" s="2411"/>
      <c r="F22" s="3427" t="s">
        <v>2106</v>
      </c>
      <c r="G22" s="3427"/>
      <c r="H22" s="3427"/>
      <c r="I22" s="3427"/>
      <c r="J22" s="3427"/>
    </row>
    <row r="23" spans="1:11" x14ac:dyDescent="0.25">
      <c r="B23" s="20"/>
    </row>
    <row r="24" spans="1:11" x14ac:dyDescent="0.25">
      <c r="B24" s="20"/>
    </row>
    <row r="28" spans="1:11" ht="16.5" x14ac:dyDescent="0.25">
      <c r="F28" s="3419" t="s">
        <v>1386</v>
      </c>
      <c r="G28" s="3419"/>
      <c r="H28" s="3419"/>
      <c r="I28" s="3419"/>
      <c r="J28" s="3419"/>
    </row>
  </sheetData>
  <mergeCells count="18">
    <mergeCell ref="A1:B1"/>
    <mergeCell ref="H4:J4"/>
    <mergeCell ref="I1:J1"/>
    <mergeCell ref="A2:J2"/>
    <mergeCell ref="A3:J3"/>
    <mergeCell ref="F28:J28"/>
    <mergeCell ref="E5:J5"/>
    <mergeCell ref="C5:D5"/>
    <mergeCell ref="B5:B7"/>
    <mergeCell ref="A5:A7"/>
    <mergeCell ref="F21:J21"/>
    <mergeCell ref="F20:J20"/>
    <mergeCell ref="C6:C7"/>
    <mergeCell ref="D6:D7"/>
    <mergeCell ref="E6:F6"/>
    <mergeCell ref="G6:H6"/>
    <mergeCell ref="I6:J6"/>
    <mergeCell ref="F22:J22"/>
  </mergeCells>
  <pageMargins left="0.7" right="0.7" top="0.57999999999999996" bottom="0.75" header="0.3" footer="0.3"/>
  <pageSetup paperSize="9" scale="76" firstPageNumber="101" orientation="portrait" useFirstPageNumber="1" verticalDpi="0" r:id="rId1"/>
  <headerFoot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3:S23"/>
  <sheetViews>
    <sheetView topLeftCell="A4" zoomScale="80" zoomScaleNormal="80" workbookViewId="0">
      <selection activeCell="B11" sqref="B11"/>
    </sheetView>
  </sheetViews>
  <sheetFormatPr defaultRowHeight="15" x14ac:dyDescent="0.25"/>
  <cols>
    <col min="1" max="1" width="5.5703125" customWidth="1"/>
    <col min="2" max="2" width="48.28515625" customWidth="1"/>
    <col min="3" max="3" width="22.85546875" customWidth="1"/>
    <col min="4" max="4" width="18.5703125" customWidth="1"/>
    <col min="5" max="5" width="23.42578125" customWidth="1"/>
    <col min="6" max="6" width="16.85546875" customWidth="1"/>
    <col min="7" max="8" width="18.7109375" customWidth="1"/>
    <col min="9" max="9" width="20.7109375" customWidth="1"/>
    <col min="10" max="10" width="20.28515625" customWidth="1"/>
    <col min="11" max="11" width="17.5703125" customWidth="1"/>
    <col min="12" max="12" width="15.28515625" customWidth="1"/>
    <col min="13" max="13" width="15.7109375" customWidth="1"/>
    <col min="14" max="14" width="15.140625" customWidth="1"/>
    <col min="15" max="15" width="15.28515625" customWidth="1"/>
    <col min="16" max="16" width="15" customWidth="1"/>
    <col min="17" max="17" width="13.85546875" customWidth="1"/>
    <col min="18" max="18" width="19" customWidth="1"/>
    <col min="19" max="19" width="17.140625" customWidth="1"/>
  </cols>
  <sheetData>
    <row r="3" spans="1:19" x14ac:dyDescent="0.25">
      <c r="C3" s="519"/>
      <c r="D3" s="519"/>
      <c r="E3" s="519"/>
      <c r="F3" s="519"/>
      <c r="G3" s="519"/>
    </row>
    <row r="4" spans="1:19" ht="27.75" customHeight="1" x14ac:dyDescent="0.25">
      <c r="A4" s="525" t="s">
        <v>0</v>
      </c>
      <c r="B4" s="525" t="s">
        <v>1</v>
      </c>
      <c r="C4" s="524" t="s">
        <v>800</v>
      </c>
      <c r="D4" s="524" t="s">
        <v>799</v>
      </c>
      <c r="E4" s="524" t="s">
        <v>711</v>
      </c>
      <c r="F4" s="543" t="s">
        <v>809</v>
      </c>
      <c r="G4" s="543" t="s">
        <v>822</v>
      </c>
      <c r="H4" s="527" t="s">
        <v>801</v>
      </c>
      <c r="I4" s="536"/>
      <c r="J4" s="519">
        <v>897449391</v>
      </c>
      <c r="K4" t="e">
        <f>'57_NĐ31'!#REF!</f>
        <v>#REF!</v>
      </c>
    </row>
    <row r="5" spans="1:19" ht="27.75" customHeight="1" x14ac:dyDescent="0.25">
      <c r="A5" s="525"/>
      <c r="B5" s="525"/>
      <c r="C5" s="524">
        <f>SUM(C6:C18)</f>
        <v>8412382000</v>
      </c>
      <c r="D5" s="524">
        <f t="shared" ref="D5:E5" si="0">SUM(D6:D18)</f>
        <v>12682400000</v>
      </c>
      <c r="E5" s="524">
        <f t="shared" si="0"/>
        <v>10982695730</v>
      </c>
      <c r="F5" s="524">
        <f>SUM(F6:F20)</f>
        <v>1564824000</v>
      </c>
      <c r="G5" s="524">
        <f>SUM(G6:G20)</f>
        <v>128564879</v>
      </c>
      <c r="H5" s="524">
        <f>SUM(H6:H20)</f>
        <v>894809391</v>
      </c>
      <c r="I5" s="538">
        <f>SUM(H6,H7,H9,H10,H11)</f>
        <v>768885667</v>
      </c>
      <c r="J5" s="577">
        <f>J4-H5</f>
        <v>2640000</v>
      </c>
    </row>
    <row r="6" spans="1:19" ht="69.75" customHeight="1" x14ac:dyDescent="0.25">
      <c r="A6" s="526"/>
      <c r="B6" s="529" t="s">
        <v>792</v>
      </c>
      <c r="C6" s="523">
        <v>2660000000</v>
      </c>
      <c r="D6" s="523">
        <v>385000000</v>
      </c>
      <c r="E6" s="523">
        <f>K10</f>
        <v>189453960</v>
      </c>
      <c r="F6" s="523"/>
      <c r="G6" s="572">
        <v>126360240</v>
      </c>
      <c r="H6" s="530">
        <f>D6-E6-F6-G6</f>
        <v>69185800</v>
      </c>
      <c r="I6" s="575">
        <f>'57_NĐ31'!K19</f>
        <v>71000.703000000329</v>
      </c>
      <c r="J6" s="534" t="s">
        <v>803</v>
      </c>
      <c r="K6" s="9" t="s">
        <v>804</v>
      </c>
      <c r="L6" s="9" t="s">
        <v>805</v>
      </c>
      <c r="M6" s="9">
        <v>42</v>
      </c>
      <c r="N6" s="9">
        <v>57</v>
      </c>
      <c r="O6" s="9">
        <v>105</v>
      </c>
      <c r="P6" s="535" t="s">
        <v>806</v>
      </c>
      <c r="Q6" s="9">
        <v>16</v>
      </c>
      <c r="R6" s="9">
        <v>73</v>
      </c>
      <c r="S6" t="s">
        <v>807</v>
      </c>
    </row>
    <row r="7" spans="1:19" ht="35.25" customHeight="1" x14ac:dyDescent="0.25">
      <c r="A7" s="520"/>
      <c r="B7" s="521" t="s">
        <v>802</v>
      </c>
      <c r="C7" s="523"/>
      <c r="D7" s="523">
        <v>1144000000</v>
      </c>
      <c r="E7" s="523">
        <f>L10</f>
        <v>448902800</v>
      </c>
      <c r="F7" s="523"/>
      <c r="G7" s="523"/>
      <c r="H7" s="530">
        <f>D7-E7-F7-G7</f>
        <v>695097200</v>
      </c>
      <c r="I7">
        <v>71</v>
      </c>
      <c r="J7" s="532">
        <v>109096048</v>
      </c>
      <c r="K7" s="533">
        <f>113877060+37087200</f>
        <v>150964260</v>
      </c>
      <c r="L7" s="533">
        <f>81650000</f>
        <v>81650000</v>
      </c>
      <c r="M7" s="533">
        <v>7488000</v>
      </c>
      <c r="N7" s="533">
        <v>33264000</v>
      </c>
      <c r="O7" s="533">
        <v>337973333</v>
      </c>
      <c r="P7" s="533">
        <v>630200000</v>
      </c>
      <c r="Q7" s="519"/>
      <c r="R7" s="519">
        <v>966086348</v>
      </c>
      <c r="S7" s="519"/>
    </row>
    <row r="8" spans="1:19" s="9" customFormat="1" ht="31.5" customHeight="1" x14ac:dyDescent="0.25">
      <c r="A8" s="526"/>
      <c r="B8" s="529" t="s">
        <v>798</v>
      </c>
      <c r="C8" s="523"/>
      <c r="D8" s="523">
        <v>1131000000</v>
      </c>
      <c r="E8" s="523">
        <v>1127240000</v>
      </c>
      <c r="F8" s="537"/>
      <c r="G8" s="537"/>
      <c r="H8" s="530"/>
      <c r="I8" s="539">
        <v>72</v>
      </c>
      <c r="J8" s="532">
        <v>1035568628</v>
      </c>
      <c r="K8" s="532"/>
      <c r="L8" s="532">
        <v>219052800</v>
      </c>
      <c r="M8" s="532">
        <v>171738000</v>
      </c>
      <c r="N8" s="532">
        <v>102960000</v>
      </c>
      <c r="O8" s="532"/>
      <c r="P8" s="532"/>
      <c r="Q8" s="532">
        <v>56682000</v>
      </c>
      <c r="R8" s="532">
        <v>1309977580</v>
      </c>
      <c r="S8" s="532">
        <v>191343000</v>
      </c>
    </row>
    <row r="9" spans="1:19" ht="28.5" customHeight="1" x14ac:dyDescent="0.25">
      <c r="A9" s="520"/>
      <c r="B9" s="521" t="s">
        <v>793</v>
      </c>
      <c r="C9" s="523">
        <v>492000000</v>
      </c>
      <c r="D9" s="523">
        <v>567000000</v>
      </c>
      <c r="E9" s="523">
        <f>O10</f>
        <v>337973333</v>
      </c>
      <c r="F9" s="523">
        <v>229026667</v>
      </c>
      <c r="G9" s="523"/>
      <c r="H9" s="530">
        <f>D9-E9-F9</f>
        <v>0</v>
      </c>
      <c r="I9">
        <v>73</v>
      </c>
      <c r="J9" s="532">
        <v>794543806</v>
      </c>
      <c r="K9" s="532">
        <f>4777500+33712200</f>
        <v>38489700</v>
      </c>
      <c r="L9" s="532">
        <f>148200000</f>
        <v>148200000</v>
      </c>
      <c r="M9" s="532">
        <v>103392000</v>
      </c>
      <c r="N9" s="532">
        <v>85248000</v>
      </c>
      <c r="O9" s="532"/>
      <c r="P9" s="532"/>
      <c r="Q9" s="519"/>
      <c r="R9" s="519">
        <v>990394627</v>
      </c>
      <c r="S9" s="519">
        <v>114743600</v>
      </c>
    </row>
    <row r="10" spans="1:19" ht="45.75" customHeight="1" x14ac:dyDescent="0.25">
      <c r="A10" s="520"/>
      <c r="B10" s="521" t="s">
        <v>794</v>
      </c>
      <c r="C10" s="523">
        <v>698000000</v>
      </c>
      <c r="D10" s="523">
        <v>557000000</v>
      </c>
      <c r="E10" s="523">
        <f>M10</f>
        <v>282618000</v>
      </c>
      <c r="F10" s="523">
        <v>274382000</v>
      </c>
      <c r="G10" s="523"/>
      <c r="H10" s="530">
        <f t="shared" ref="H10:H17" si="1">D10-E10-F10</f>
        <v>0</v>
      </c>
      <c r="J10" s="513">
        <f>SUM(J7:J9)</f>
        <v>1939208482</v>
      </c>
      <c r="K10" s="513">
        <f>SUM(K7:K9)</f>
        <v>189453960</v>
      </c>
      <c r="L10" s="513">
        <f>SUM(L7:L9)</f>
        <v>448902800</v>
      </c>
      <c r="M10" s="513">
        <f t="shared" ref="M10:Q10" si="2">SUM(M7:M9)</f>
        <v>282618000</v>
      </c>
      <c r="N10" s="513">
        <f t="shared" si="2"/>
        <v>221472000</v>
      </c>
      <c r="O10" s="513">
        <f t="shared" si="2"/>
        <v>337973333</v>
      </c>
      <c r="P10" s="513">
        <f t="shared" si="2"/>
        <v>630200000</v>
      </c>
      <c r="Q10" s="513">
        <f t="shared" si="2"/>
        <v>56682000</v>
      </c>
      <c r="R10" s="513">
        <f>SUM(R7:R9)</f>
        <v>3266458555</v>
      </c>
      <c r="S10" s="532">
        <f>SUM(S7:S9)</f>
        <v>306086600</v>
      </c>
    </row>
    <row r="11" spans="1:19" ht="57" customHeight="1" x14ac:dyDescent="0.25">
      <c r="A11" s="520"/>
      <c r="B11" s="521" t="s">
        <v>795</v>
      </c>
      <c r="C11" s="523">
        <v>253000000</v>
      </c>
      <c r="D11" s="523">
        <v>318000000</v>
      </c>
      <c r="E11" s="523">
        <f>N10</f>
        <v>221472000</v>
      </c>
      <c r="F11" s="523">
        <v>91925333</v>
      </c>
      <c r="G11" s="523"/>
      <c r="H11" s="530">
        <f>D11-E11-F11</f>
        <v>4602667</v>
      </c>
      <c r="I11" s="528">
        <f>H11+H9</f>
        <v>4602667</v>
      </c>
      <c r="J11" s="532"/>
      <c r="K11" s="532"/>
      <c r="L11" s="532"/>
      <c r="M11" s="532"/>
      <c r="N11" s="532"/>
      <c r="O11" s="532"/>
      <c r="P11" s="532"/>
    </row>
    <row r="12" spans="1:19" s="9" customFormat="1" ht="45" customHeight="1" x14ac:dyDescent="0.25">
      <c r="A12" s="526"/>
      <c r="B12" s="529" t="s">
        <v>808</v>
      </c>
      <c r="C12" s="523"/>
      <c r="D12" s="523">
        <v>318000000</v>
      </c>
      <c r="E12" s="523">
        <f>S10</f>
        <v>306086600</v>
      </c>
      <c r="F12" s="523"/>
      <c r="G12" s="523"/>
      <c r="H12" s="530">
        <f>D12-E12-F12</f>
        <v>11913400</v>
      </c>
      <c r="J12" s="574">
        <f>H6+H7</f>
        <v>764283000</v>
      </c>
    </row>
    <row r="13" spans="1:19" s="9" customFormat="1" ht="27.75" customHeight="1" x14ac:dyDescent="0.25">
      <c r="A13" s="526"/>
      <c r="B13" s="529" t="s">
        <v>796</v>
      </c>
      <c r="C13" s="523"/>
      <c r="D13" s="523">
        <f>607018000+1335000000</f>
        <v>1942018000</v>
      </c>
      <c r="E13" s="523">
        <f>J10</f>
        <v>1939208482</v>
      </c>
      <c r="F13" s="523"/>
      <c r="G13" s="523">
        <f>981+2203658</f>
        <v>2204639</v>
      </c>
      <c r="H13" s="573">
        <f>D13-E13-F13-G13</f>
        <v>604879</v>
      </c>
      <c r="J13" s="575">
        <f>'5.31'!I29</f>
        <v>857.85786700009999</v>
      </c>
    </row>
    <row r="14" spans="1:19" s="9" customFormat="1" ht="34.5" customHeight="1" x14ac:dyDescent="0.25">
      <c r="A14" s="526"/>
      <c r="B14" s="529" t="s">
        <v>797</v>
      </c>
      <c r="C14" s="523"/>
      <c r="D14" s="523">
        <v>2011000000</v>
      </c>
      <c r="E14" s="523">
        <f>D14</f>
        <v>2011000000</v>
      </c>
      <c r="F14" s="523"/>
      <c r="G14" s="523"/>
      <c r="H14" s="530">
        <f t="shared" si="1"/>
        <v>0</v>
      </c>
      <c r="J14" s="576">
        <v>764283000</v>
      </c>
    </row>
    <row r="15" spans="1:19" ht="20.25" customHeight="1" x14ac:dyDescent="0.25">
      <c r="B15" s="531" t="s">
        <v>813</v>
      </c>
      <c r="C15" s="519">
        <v>630200000</v>
      </c>
      <c r="D15" s="519">
        <f>C15</f>
        <v>630200000</v>
      </c>
      <c r="E15" s="519">
        <f>P10</f>
        <v>630200000</v>
      </c>
      <c r="F15" s="519"/>
      <c r="G15" s="519"/>
      <c r="H15" s="530">
        <f t="shared" si="1"/>
        <v>0</v>
      </c>
      <c r="J15" s="528">
        <f>J12-J14</f>
        <v>0</v>
      </c>
    </row>
    <row r="16" spans="1:19" ht="21.75" customHeight="1" x14ac:dyDescent="0.25">
      <c r="A16" s="520"/>
      <c r="B16" s="531" t="s">
        <v>812</v>
      </c>
      <c r="C16" s="522">
        <f>D16</f>
        <v>231682000</v>
      </c>
      <c r="D16" s="522">
        <f>56682000+175000000</f>
        <v>231682000</v>
      </c>
      <c r="E16" s="522">
        <f>Q10</f>
        <v>56682000</v>
      </c>
      <c r="F16" s="522">
        <v>175000000</v>
      </c>
      <c r="G16" s="522"/>
      <c r="H16" s="530">
        <f>D16-E16-F16</f>
        <v>0</v>
      </c>
    </row>
    <row r="17" spans="1:9" ht="28.5" customHeight="1" x14ac:dyDescent="0.25">
      <c r="A17" s="520"/>
      <c r="B17" s="520" t="s">
        <v>810</v>
      </c>
      <c r="C17" s="522">
        <v>3266500000</v>
      </c>
      <c r="D17" s="522">
        <f>C17</f>
        <v>3266500000</v>
      </c>
      <c r="E17" s="522">
        <f>R10</f>
        <v>3266458555</v>
      </c>
      <c r="F17" s="522"/>
      <c r="G17" s="522"/>
      <c r="H17" s="530">
        <f t="shared" si="1"/>
        <v>41445</v>
      </c>
      <c r="I17" s="519"/>
    </row>
    <row r="18" spans="1:9" x14ac:dyDescent="0.25">
      <c r="A18" s="520"/>
      <c r="B18" s="520" t="s">
        <v>811</v>
      </c>
      <c r="C18" s="522">
        <v>181000000</v>
      </c>
      <c r="D18" s="522">
        <f>C18</f>
        <v>181000000</v>
      </c>
      <c r="E18" s="522">
        <v>165400000</v>
      </c>
      <c r="F18" s="522">
        <v>15600000</v>
      </c>
      <c r="G18" s="522"/>
      <c r="H18" s="530">
        <f>D18-E18-F18</f>
        <v>0</v>
      </c>
      <c r="I18" s="528"/>
    </row>
    <row r="19" spans="1:9" x14ac:dyDescent="0.25">
      <c r="A19" s="520"/>
      <c r="B19" s="520" t="s">
        <v>815</v>
      </c>
      <c r="C19" s="522"/>
      <c r="D19" s="522"/>
      <c r="E19" s="522"/>
      <c r="F19" s="522">
        <v>51840000</v>
      </c>
      <c r="G19" s="522"/>
      <c r="H19" s="522">
        <v>40000000</v>
      </c>
    </row>
    <row r="20" spans="1:9" x14ac:dyDescent="0.25">
      <c r="A20" s="520"/>
      <c r="B20" s="520" t="s">
        <v>816</v>
      </c>
      <c r="C20" s="522"/>
      <c r="D20" s="522"/>
      <c r="E20" s="522"/>
      <c r="F20" s="522">
        <v>727050000</v>
      </c>
      <c r="G20" s="522"/>
      <c r="H20" s="522">
        <v>73364000</v>
      </c>
      <c r="I20" s="544"/>
    </row>
    <row r="23" spans="1:9" x14ac:dyDescent="0.25">
      <c r="E23" s="528"/>
    </row>
  </sheetData>
  <phoneticPr fontId="70" type="noConversion"/>
  <pageMargins left="0.7" right="0.7" top="0.75" bottom="0.75" header="0.3" footer="0.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sheetPr>
  <dimension ref="A1:CF76"/>
  <sheetViews>
    <sheetView zoomScale="80" zoomScaleNormal="80" zoomScaleSheetLayoutView="115" workbookViewId="0">
      <selection activeCell="G25" sqref="G25"/>
    </sheetView>
  </sheetViews>
  <sheetFormatPr defaultRowHeight="15.75" x14ac:dyDescent="0.25"/>
  <cols>
    <col min="1" max="1" width="5.5703125" style="664" customWidth="1"/>
    <col min="2" max="2" width="50.5703125" style="665" customWidth="1"/>
    <col min="3" max="3" width="22.7109375" style="666" customWidth="1"/>
    <col min="4" max="4" width="31.85546875" style="672" customWidth="1"/>
    <col min="5" max="5" width="20.28515625" style="668" customWidth="1"/>
    <col min="6" max="6" width="12.28515625" style="666" customWidth="1"/>
    <col min="7" max="7" width="14" style="666" customWidth="1"/>
    <col min="8" max="8" width="19.140625" style="792" customWidth="1"/>
    <col min="9" max="9" width="16.7109375" style="204" customWidth="1"/>
    <col min="10" max="10" width="15.7109375" style="792" customWidth="1"/>
    <col min="11" max="11" width="12.7109375" style="792" customWidth="1"/>
    <col min="12" max="12" width="20" style="792" customWidth="1"/>
    <col min="13" max="13" width="12" style="204" customWidth="1"/>
    <col min="14" max="14" width="12.7109375" style="587" customWidth="1"/>
    <col min="15" max="15" width="12" style="792" customWidth="1"/>
    <col min="16" max="16" width="14.7109375" style="792" customWidth="1"/>
    <col min="17" max="17" width="9.140625" style="792" customWidth="1"/>
    <col min="18" max="18" width="9.140625" style="666" customWidth="1"/>
    <col min="19" max="19" width="10.28515625" style="666" customWidth="1"/>
    <col min="20" max="20" width="9.140625" style="666" customWidth="1"/>
    <col min="21" max="21" width="12.7109375" style="666" customWidth="1"/>
    <col min="22" max="83" width="9.140625" style="666" customWidth="1"/>
    <col min="84" max="84" width="11" style="669" bestFit="1" customWidth="1"/>
    <col min="85" max="213" width="8.85546875" style="666"/>
    <col min="214" max="214" width="6.42578125" style="666" customWidth="1"/>
    <col min="215" max="215" width="67.28515625" style="666" customWidth="1"/>
    <col min="216" max="216" width="15.42578125" style="666" customWidth="1"/>
    <col min="217" max="218" width="0" style="666" hidden="1" customWidth="1"/>
    <col min="219" max="469" width="8.85546875" style="666"/>
    <col min="470" max="470" width="6.42578125" style="666" customWidth="1"/>
    <col min="471" max="471" width="67.28515625" style="666" customWidth="1"/>
    <col min="472" max="472" width="15.42578125" style="666" customWidth="1"/>
    <col min="473" max="474" width="0" style="666" hidden="1" customWidth="1"/>
    <col min="475" max="725" width="8.85546875" style="666"/>
    <col min="726" max="726" width="6.42578125" style="666" customWidth="1"/>
    <col min="727" max="727" width="67.28515625" style="666" customWidth="1"/>
    <col min="728" max="728" width="15.42578125" style="666" customWidth="1"/>
    <col min="729" max="730" width="0" style="666" hidden="1" customWidth="1"/>
    <col min="731" max="981" width="8.85546875" style="666"/>
    <col min="982" max="982" width="6.42578125" style="666" customWidth="1"/>
    <col min="983" max="983" width="67.28515625" style="666" customWidth="1"/>
    <col min="984" max="984" width="15.42578125" style="666" customWidth="1"/>
    <col min="985" max="986" width="0" style="666" hidden="1" customWidth="1"/>
    <col min="987" max="1237" width="8.85546875" style="666"/>
    <col min="1238" max="1238" width="6.42578125" style="666" customWidth="1"/>
    <col min="1239" max="1239" width="67.28515625" style="666" customWidth="1"/>
    <col min="1240" max="1240" width="15.42578125" style="666" customWidth="1"/>
    <col min="1241" max="1242" width="0" style="666" hidden="1" customWidth="1"/>
    <col min="1243" max="1493" width="8.85546875" style="666"/>
    <col min="1494" max="1494" width="6.42578125" style="666" customWidth="1"/>
    <col min="1495" max="1495" width="67.28515625" style="666" customWidth="1"/>
    <col min="1496" max="1496" width="15.42578125" style="666" customWidth="1"/>
    <col min="1497" max="1498" width="0" style="666" hidden="1" customWidth="1"/>
    <col min="1499" max="1749" width="8.85546875" style="666"/>
    <col min="1750" max="1750" width="6.42578125" style="666" customWidth="1"/>
    <col min="1751" max="1751" width="67.28515625" style="666" customWidth="1"/>
    <col min="1752" max="1752" width="15.42578125" style="666" customWidth="1"/>
    <col min="1753" max="1754" width="0" style="666" hidden="1" customWidth="1"/>
    <col min="1755" max="2005" width="8.85546875" style="666"/>
    <col min="2006" max="2006" width="6.42578125" style="666" customWidth="1"/>
    <col min="2007" max="2007" width="67.28515625" style="666" customWidth="1"/>
    <col min="2008" max="2008" width="15.42578125" style="666" customWidth="1"/>
    <col min="2009" max="2010" width="0" style="666" hidden="1" customWidth="1"/>
    <col min="2011" max="2261" width="8.85546875" style="666"/>
    <col min="2262" max="2262" width="6.42578125" style="666" customWidth="1"/>
    <col min="2263" max="2263" width="67.28515625" style="666" customWidth="1"/>
    <col min="2264" max="2264" width="15.42578125" style="666" customWidth="1"/>
    <col min="2265" max="2266" width="0" style="666" hidden="1" customWidth="1"/>
    <col min="2267" max="2517" width="8.85546875" style="666"/>
    <col min="2518" max="2518" width="6.42578125" style="666" customWidth="1"/>
    <col min="2519" max="2519" width="67.28515625" style="666" customWidth="1"/>
    <col min="2520" max="2520" width="15.42578125" style="666" customWidth="1"/>
    <col min="2521" max="2522" width="0" style="666" hidden="1" customWidth="1"/>
    <col min="2523" max="2773" width="8.85546875" style="666"/>
    <col min="2774" max="2774" width="6.42578125" style="666" customWidth="1"/>
    <col min="2775" max="2775" width="67.28515625" style="666" customWidth="1"/>
    <col min="2776" max="2776" width="15.42578125" style="666" customWidth="1"/>
    <col min="2777" max="2778" width="0" style="666" hidden="1" customWidth="1"/>
    <col min="2779" max="3029" width="8.85546875" style="666"/>
    <col min="3030" max="3030" width="6.42578125" style="666" customWidth="1"/>
    <col min="3031" max="3031" width="67.28515625" style="666" customWidth="1"/>
    <col min="3032" max="3032" width="15.42578125" style="666" customWidth="1"/>
    <col min="3033" max="3034" width="0" style="666" hidden="1" customWidth="1"/>
    <col min="3035" max="3285" width="8.85546875" style="666"/>
    <col min="3286" max="3286" width="6.42578125" style="666" customWidth="1"/>
    <col min="3287" max="3287" width="67.28515625" style="666" customWidth="1"/>
    <col min="3288" max="3288" width="15.42578125" style="666" customWidth="1"/>
    <col min="3289" max="3290" width="0" style="666" hidden="1" customWidth="1"/>
    <col min="3291" max="3541" width="8.85546875" style="666"/>
    <col min="3542" max="3542" width="6.42578125" style="666" customWidth="1"/>
    <col min="3543" max="3543" width="67.28515625" style="666" customWidth="1"/>
    <col min="3544" max="3544" width="15.42578125" style="666" customWidth="1"/>
    <col min="3545" max="3546" width="0" style="666" hidden="1" customWidth="1"/>
    <col min="3547" max="3797" width="8.85546875" style="666"/>
    <col min="3798" max="3798" width="6.42578125" style="666" customWidth="1"/>
    <col min="3799" max="3799" width="67.28515625" style="666" customWidth="1"/>
    <col min="3800" max="3800" width="15.42578125" style="666" customWidth="1"/>
    <col min="3801" max="3802" width="0" style="666" hidden="1" customWidth="1"/>
    <col min="3803" max="4053" width="8.85546875" style="666"/>
    <col min="4054" max="4054" width="6.42578125" style="666" customWidth="1"/>
    <col min="4055" max="4055" width="67.28515625" style="666" customWidth="1"/>
    <col min="4056" max="4056" width="15.42578125" style="666" customWidth="1"/>
    <col min="4057" max="4058" width="0" style="666" hidden="1" customWidth="1"/>
    <col min="4059" max="4309" width="8.85546875" style="666"/>
    <col min="4310" max="4310" width="6.42578125" style="666" customWidth="1"/>
    <col min="4311" max="4311" width="67.28515625" style="666" customWidth="1"/>
    <col min="4312" max="4312" width="15.42578125" style="666" customWidth="1"/>
    <col min="4313" max="4314" width="0" style="666" hidden="1" customWidth="1"/>
    <col min="4315" max="4565" width="8.85546875" style="666"/>
    <col min="4566" max="4566" width="6.42578125" style="666" customWidth="1"/>
    <col min="4567" max="4567" width="67.28515625" style="666" customWidth="1"/>
    <col min="4568" max="4568" width="15.42578125" style="666" customWidth="1"/>
    <col min="4569" max="4570" width="0" style="666" hidden="1" customWidth="1"/>
    <col min="4571" max="4821" width="8.85546875" style="666"/>
    <col min="4822" max="4822" width="6.42578125" style="666" customWidth="1"/>
    <col min="4823" max="4823" width="67.28515625" style="666" customWidth="1"/>
    <col min="4824" max="4824" width="15.42578125" style="666" customWidth="1"/>
    <col min="4825" max="4826" width="0" style="666" hidden="1" customWidth="1"/>
    <col min="4827" max="5077" width="8.85546875" style="666"/>
    <col min="5078" max="5078" width="6.42578125" style="666" customWidth="1"/>
    <col min="5079" max="5079" width="67.28515625" style="666" customWidth="1"/>
    <col min="5080" max="5080" width="15.42578125" style="666" customWidth="1"/>
    <col min="5081" max="5082" width="0" style="666" hidden="1" customWidth="1"/>
    <col min="5083" max="5333" width="8.85546875" style="666"/>
    <col min="5334" max="5334" width="6.42578125" style="666" customWidth="1"/>
    <col min="5335" max="5335" width="67.28515625" style="666" customWidth="1"/>
    <col min="5336" max="5336" width="15.42578125" style="666" customWidth="1"/>
    <col min="5337" max="5338" width="0" style="666" hidden="1" customWidth="1"/>
    <col min="5339" max="5589" width="8.85546875" style="666"/>
    <col min="5590" max="5590" width="6.42578125" style="666" customWidth="1"/>
    <col min="5591" max="5591" width="67.28515625" style="666" customWidth="1"/>
    <col min="5592" max="5592" width="15.42578125" style="666" customWidth="1"/>
    <col min="5593" max="5594" width="0" style="666" hidden="1" customWidth="1"/>
    <col min="5595" max="5845" width="8.85546875" style="666"/>
    <col min="5846" max="5846" width="6.42578125" style="666" customWidth="1"/>
    <col min="5847" max="5847" width="67.28515625" style="666" customWidth="1"/>
    <col min="5848" max="5848" width="15.42578125" style="666" customWidth="1"/>
    <col min="5849" max="5850" width="0" style="666" hidden="1" customWidth="1"/>
    <col min="5851" max="6101" width="8.85546875" style="666"/>
    <col min="6102" max="6102" width="6.42578125" style="666" customWidth="1"/>
    <col min="6103" max="6103" width="67.28515625" style="666" customWidth="1"/>
    <col min="6104" max="6104" width="15.42578125" style="666" customWidth="1"/>
    <col min="6105" max="6106" width="0" style="666" hidden="1" customWidth="1"/>
    <col min="6107" max="6357" width="8.85546875" style="666"/>
    <col min="6358" max="6358" width="6.42578125" style="666" customWidth="1"/>
    <col min="6359" max="6359" width="67.28515625" style="666" customWidth="1"/>
    <col min="6360" max="6360" width="15.42578125" style="666" customWidth="1"/>
    <col min="6361" max="6362" width="0" style="666" hidden="1" customWidth="1"/>
    <col min="6363" max="6613" width="8.85546875" style="666"/>
    <col min="6614" max="6614" width="6.42578125" style="666" customWidth="1"/>
    <col min="6615" max="6615" width="67.28515625" style="666" customWidth="1"/>
    <col min="6616" max="6616" width="15.42578125" style="666" customWidth="1"/>
    <col min="6617" max="6618" width="0" style="666" hidden="1" customWidth="1"/>
    <col min="6619" max="6869" width="8.85546875" style="666"/>
    <col min="6870" max="6870" width="6.42578125" style="666" customWidth="1"/>
    <col min="6871" max="6871" width="67.28515625" style="666" customWidth="1"/>
    <col min="6872" max="6872" width="15.42578125" style="666" customWidth="1"/>
    <col min="6873" max="6874" width="0" style="666" hidden="1" customWidth="1"/>
    <col min="6875" max="7125" width="8.85546875" style="666"/>
    <col min="7126" max="7126" width="6.42578125" style="666" customWidth="1"/>
    <col min="7127" max="7127" width="67.28515625" style="666" customWidth="1"/>
    <col min="7128" max="7128" width="15.42578125" style="666" customWidth="1"/>
    <col min="7129" max="7130" width="0" style="666" hidden="1" customWidth="1"/>
    <col min="7131" max="7381" width="8.85546875" style="666"/>
    <col min="7382" max="7382" width="6.42578125" style="666" customWidth="1"/>
    <col min="7383" max="7383" width="67.28515625" style="666" customWidth="1"/>
    <col min="7384" max="7384" width="15.42578125" style="666" customWidth="1"/>
    <col min="7385" max="7386" width="0" style="666" hidden="1" customWidth="1"/>
    <col min="7387" max="7637" width="8.85546875" style="666"/>
    <col min="7638" max="7638" width="6.42578125" style="666" customWidth="1"/>
    <col min="7639" max="7639" width="67.28515625" style="666" customWidth="1"/>
    <col min="7640" max="7640" width="15.42578125" style="666" customWidth="1"/>
    <col min="7641" max="7642" width="0" style="666" hidden="1" customWidth="1"/>
    <col min="7643" max="7893" width="8.85546875" style="666"/>
    <col min="7894" max="7894" width="6.42578125" style="666" customWidth="1"/>
    <col min="7895" max="7895" width="67.28515625" style="666" customWidth="1"/>
    <col min="7896" max="7896" width="15.42578125" style="666" customWidth="1"/>
    <col min="7897" max="7898" width="0" style="666" hidden="1" customWidth="1"/>
    <col min="7899" max="8149" width="8.85546875" style="666"/>
    <col min="8150" max="8150" width="6.42578125" style="666" customWidth="1"/>
    <col min="8151" max="8151" width="67.28515625" style="666" customWidth="1"/>
    <col min="8152" max="8152" width="15.42578125" style="666" customWidth="1"/>
    <col min="8153" max="8154" width="0" style="666" hidden="1" customWidth="1"/>
    <col min="8155" max="8405" width="8.85546875" style="666"/>
    <col min="8406" max="8406" width="6.42578125" style="666" customWidth="1"/>
    <col min="8407" max="8407" width="67.28515625" style="666" customWidth="1"/>
    <col min="8408" max="8408" width="15.42578125" style="666" customWidth="1"/>
    <col min="8409" max="8410" width="0" style="666" hidden="1" customWidth="1"/>
    <col min="8411" max="8661" width="8.85546875" style="666"/>
    <col min="8662" max="8662" width="6.42578125" style="666" customWidth="1"/>
    <col min="8663" max="8663" width="67.28515625" style="666" customWidth="1"/>
    <col min="8664" max="8664" width="15.42578125" style="666" customWidth="1"/>
    <col min="8665" max="8666" width="0" style="666" hidden="1" customWidth="1"/>
    <col min="8667" max="8917" width="8.85546875" style="666"/>
    <col min="8918" max="8918" width="6.42578125" style="666" customWidth="1"/>
    <col min="8919" max="8919" width="67.28515625" style="666" customWidth="1"/>
    <col min="8920" max="8920" width="15.42578125" style="666" customWidth="1"/>
    <col min="8921" max="8922" width="0" style="666" hidden="1" customWidth="1"/>
    <col min="8923" max="9173" width="8.85546875" style="666"/>
    <col min="9174" max="9174" width="6.42578125" style="666" customWidth="1"/>
    <col min="9175" max="9175" width="67.28515625" style="666" customWidth="1"/>
    <col min="9176" max="9176" width="15.42578125" style="666" customWidth="1"/>
    <col min="9177" max="9178" width="0" style="666" hidden="1" customWidth="1"/>
    <col min="9179" max="9429" width="8.85546875" style="666"/>
    <col min="9430" max="9430" width="6.42578125" style="666" customWidth="1"/>
    <col min="9431" max="9431" width="67.28515625" style="666" customWidth="1"/>
    <col min="9432" max="9432" width="15.42578125" style="666" customWidth="1"/>
    <col min="9433" max="9434" width="0" style="666" hidden="1" customWidth="1"/>
    <col min="9435" max="9685" width="8.85546875" style="666"/>
    <col min="9686" max="9686" width="6.42578125" style="666" customWidth="1"/>
    <col min="9687" max="9687" width="67.28515625" style="666" customWidth="1"/>
    <col min="9688" max="9688" width="15.42578125" style="666" customWidth="1"/>
    <col min="9689" max="9690" width="0" style="666" hidden="1" customWidth="1"/>
    <col min="9691" max="9941" width="8.85546875" style="666"/>
    <col min="9942" max="9942" width="6.42578125" style="666" customWidth="1"/>
    <col min="9943" max="9943" width="67.28515625" style="666" customWidth="1"/>
    <col min="9944" max="9944" width="15.42578125" style="666" customWidth="1"/>
    <col min="9945" max="9946" width="0" style="666" hidden="1" customWidth="1"/>
    <col min="9947" max="10197" width="8.85546875" style="666"/>
    <col min="10198" max="10198" width="6.42578125" style="666" customWidth="1"/>
    <col min="10199" max="10199" width="67.28515625" style="666" customWidth="1"/>
    <col min="10200" max="10200" width="15.42578125" style="666" customWidth="1"/>
    <col min="10201" max="10202" width="0" style="666" hidden="1" customWidth="1"/>
    <col min="10203" max="10453" width="8.85546875" style="666"/>
    <col min="10454" max="10454" width="6.42578125" style="666" customWidth="1"/>
    <col min="10455" max="10455" width="67.28515625" style="666" customWidth="1"/>
    <col min="10456" max="10456" width="15.42578125" style="666" customWidth="1"/>
    <col min="10457" max="10458" width="0" style="666" hidden="1" customWidth="1"/>
    <col min="10459" max="10709" width="8.85546875" style="666"/>
    <col min="10710" max="10710" width="6.42578125" style="666" customWidth="1"/>
    <col min="10711" max="10711" width="67.28515625" style="666" customWidth="1"/>
    <col min="10712" max="10712" width="15.42578125" style="666" customWidth="1"/>
    <col min="10713" max="10714" width="0" style="666" hidden="1" customWidth="1"/>
    <col min="10715" max="10965" width="8.85546875" style="666"/>
    <col min="10966" max="10966" width="6.42578125" style="666" customWidth="1"/>
    <col min="10967" max="10967" width="67.28515625" style="666" customWidth="1"/>
    <col min="10968" max="10968" width="15.42578125" style="666" customWidth="1"/>
    <col min="10969" max="10970" width="0" style="666" hidden="1" customWidth="1"/>
    <col min="10971" max="11221" width="8.85546875" style="666"/>
    <col min="11222" max="11222" width="6.42578125" style="666" customWidth="1"/>
    <col min="11223" max="11223" width="67.28515625" style="666" customWidth="1"/>
    <col min="11224" max="11224" width="15.42578125" style="666" customWidth="1"/>
    <col min="11225" max="11226" width="0" style="666" hidden="1" customWidth="1"/>
    <col min="11227" max="11477" width="8.85546875" style="666"/>
    <col min="11478" max="11478" width="6.42578125" style="666" customWidth="1"/>
    <col min="11479" max="11479" width="67.28515625" style="666" customWidth="1"/>
    <col min="11480" max="11480" width="15.42578125" style="666" customWidth="1"/>
    <col min="11481" max="11482" width="0" style="666" hidden="1" customWidth="1"/>
    <col min="11483" max="11733" width="8.85546875" style="666"/>
    <col min="11734" max="11734" width="6.42578125" style="666" customWidth="1"/>
    <col min="11735" max="11735" width="67.28515625" style="666" customWidth="1"/>
    <col min="11736" max="11736" width="15.42578125" style="666" customWidth="1"/>
    <col min="11737" max="11738" width="0" style="666" hidden="1" customWidth="1"/>
    <col min="11739" max="11989" width="8.85546875" style="666"/>
    <col min="11990" max="11990" width="6.42578125" style="666" customWidth="1"/>
    <col min="11991" max="11991" width="67.28515625" style="666" customWidth="1"/>
    <col min="11992" max="11992" width="15.42578125" style="666" customWidth="1"/>
    <col min="11993" max="11994" width="0" style="666" hidden="1" customWidth="1"/>
    <col min="11995" max="12245" width="8.85546875" style="666"/>
    <col min="12246" max="12246" width="6.42578125" style="666" customWidth="1"/>
    <col min="12247" max="12247" width="67.28515625" style="666" customWidth="1"/>
    <col min="12248" max="12248" width="15.42578125" style="666" customWidth="1"/>
    <col min="12249" max="12250" width="0" style="666" hidden="1" customWidth="1"/>
    <col min="12251" max="12501" width="8.85546875" style="666"/>
    <col min="12502" max="12502" width="6.42578125" style="666" customWidth="1"/>
    <col min="12503" max="12503" width="67.28515625" style="666" customWidth="1"/>
    <col min="12504" max="12504" width="15.42578125" style="666" customWidth="1"/>
    <col min="12505" max="12506" width="0" style="666" hidden="1" customWidth="1"/>
    <col min="12507" max="12757" width="8.85546875" style="666"/>
    <col min="12758" max="12758" width="6.42578125" style="666" customWidth="1"/>
    <col min="12759" max="12759" width="67.28515625" style="666" customWidth="1"/>
    <col min="12760" max="12760" width="15.42578125" style="666" customWidth="1"/>
    <col min="12761" max="12762" width="0" style="666" hidden="1" customWidth="1"/>
    <col min="12763" max="13013" width="8.85546875" style="666"/>
    <col min="13014" max="13014" width="6.42578125" style="666" customWidth="1"/>
    <col min="13015" max="13015" width="67.28515625" style="666" customWidth="1"/>
    <col min="13016" max="13016" width="15.42578125" style="666" customWidth="1"/>
    <col min="13017" max="13018" width="0" style="666" hidden="1" customWidth="1"/>
    <col min="13019" max="13269" width="8.85546875" style="666"/>
    <col min="13270" max="13270" width="6.42578125" style="666" customWidth="1"/>
    <col min="13271" max="13271" width="67.28515625" style="666" customWidth="1"/>
    <col min="13272" max="13272" width="15.42578125" style="666" customWidth="1"/>
    <col min="13273" max="13274" width="0" style="666" hidden="1" customWidth="1"/>
    <col min="13275" max="13525" width="8.85546875" style="666"/>
    <col min="13526" max="13526" width="6.42578125" style="666" customWidth="1"/>
    <col min="13527" max="13527" width="67.28515625" style="666" customWidth="1"/>
    <col min="13528" max="13528" width="15.42578125" style="666" customWidth="1"/>
    <col min="13529" max="13530" width="0" style="666" hidden="1" customWidth="1"/>
    <col min="13531" max="13781" width="8.85546875" style="666"/>
    <col min="13782" max="13782" width="6.42578125" style="666" customWidth="1"/>
    <col min="13783" max="13783" width="67.28515625" style="666" customWidth="1"/>
    <col min="13784" max="13784" width="15.42578125" style="666" customWidth="1"/>
    <col min="13785" max="13786" width="0" style="666" hidden="1" customWidth="1"/>
    <col min="13787" max="14037" width="8.85546875" style="666"/>
    <col min="14038" max="14038" width="6.42578125" style="666" customWidth="1"/>
    <col min="14039" max="14039" width="67.28515625" style="666" customWidth="1"/>
    <col min="14040" max="14040" width="15.42578125" style="666" customWidth="1"/>
    <col min="14041" max="14042" width="0" style="666" hidden="1" customWidth="1"/>
    <col min="14043" max="14293" width="8.85546875" style="666"/>
    <col min="14294" max="14294" width="6.42578125" style="666" customWidth="1"/>
    <col min="14295" max="14295" width="67.28515625" style="666" customWidth="1"/>
    <col min="14296" max="14296" width="15.42578125" style="666" customWidth="1"/>
    <col min="14297" max="14298" width="0" style="666" hidden="1" customWidth="1"/>
    <col min="14299" max="14549" width="8.85546875" style="666"/>
    <col min="14550" max="14550" width="6.42578125" style="666" customWidth="1"/>
    <col min="14551" max="14551" width="67.28515625" style="666" customWidth="1"/>
    <col min="14552" max="14552" width="15.42578125" style="666" customWidth="1"/>
    <col min="14553" max="14554" width="0" style="666" hidden="1" customWidth="1"/>
    <col min="14555" max="14805" width="8.85546875" style="666"/>
    <col min="14806" max="14806" width="6.42578125" style="666" customWidth="1"/>
    <col min="14807" max="14807" width="67.28515625" style="666" customWidth="1"/>
    <col min="14808" max="14808" width="15.42578125" style="666" customWidth="1"/>
    <col min="14809" max="14810" width="0" style="666" hidden="1" customWidth="1"/>
    <col min="14811" max="15061" width="8.85546875" style="666"/>
    <col min="15062" max="15062" width="6.42578125" style="666" customWidth="1"/>
    <col min="15063" max="15063" width="67.28515625" style="666" customWidth="1"/>
    <col min="15064" max="15064" width="15.42578125" style="666" customWidth="1"/>
    <col min="15065" max="15066" width="0" style="666" hidden="1" customWidth="1"/>
    <col min="15067" max="15317" width="8.85546875" style="666"/>
    <col min="15318" max="15318" width="6.42578125" style="666" customWidth="1"/>
    <col min="15319" max="15319" width="67.28515625" style="666" customWidth="1"/>
    <col min="15320" max="15320" width="15.42578125" style="666" customWidth="1"/>
    <col min="15321" max="15322" width="0" style="666" hidden="1" customWidth="1"/>
    <col min="15323" max="15573" width="8.85546875" style="666"/>
    <col min="15574" max="15574" width="6.42578125" style="666" customWidth="1"/>
    <col min="15575" max="15575" width="67.28515625" style="666" customWidth="1"/>
    <col min="15576" max="15576" width="15.42578125" style="666" customWidth="1"/>
    <col min="15577" max="15578" width="0" style="666" hidden="1" customWidth="1"/>
    <col min="15579" max="15829" width="8.85546875" style="666"/>
    <col min="15830" max="15830" width="6.42578125" style="666" customWidth="1"/>
    <col min="15831" max="15831" width="67.28515625" style="666" customWidth="1"/>
    <col min="15832" max="15832" width="15.42578125" style="666" customWidth="1"/>
    <col min="15833" max="15834" width="0" style="666" hidden="1" customWidth="1"/>
    <col min="15835" max="16085" width="8.85546875" style="666"/>
    <col min="16086" max="16086" width="6.42578125" style="666" customWidth="1"/>
    <col min="16087" max="16087" width="67.28515625" style="666" customWidth="1"/>
    <col min="16088" max="16088" width="15.42578125" style="666" customWidth="1"/>
    <col min="16089" max="16090" width="0" style="666" hidden="1" customWidth="1"/>
    <col min="16091" max="16343" width="8.85546875" style="666"/>
    <col min="16344" max="16384" width="8.85546875" style="666" customWidth="1"/>
  </cols>
  <sheetData>
    <row r="1" spans="1:84" s="601" customFormat="1" ht="14.25" customHeight="1" x14ac:dyDescent="0.25">
      <c r="A1" s="3432" t="str">
        <f>'48_NĐ31'!A1</f>
        <v xml:space="preserve">UBND PHƯỜNG BẮC KẠN </v>
      </c>
      <c r="B1" s="3432"/>
      <c r="D1" s="602"/>
      <c r="E1" s="603"/>
      <c r="H1" s="792"/>
      <c r="I1" s="204"/>
      <c r="J1" s="792"/>
      <c r="K1" s="792"/>
      <c r="L1" s="792"/>
      <c r="M1" s="204"/>
      <c r="N1" s="587"/>
      <c r="O1" s="792"/>
      <c r="P1" s="792"/>
      <c r="Q1" s="792"/>
      <c r="CF1" s="126"/>
    </row>
    <row r="2" spans="1:84" s="604" customFormat="1" ht="26.25" customHeight="1" x14ac:dyDescent="0.25">
      <c r="A2" s="3433" t="s">
        <v>739</v>
      </c>
      <c r="B2" s="3433"/>
      <c r="C2" s="3433"/>
      <c r="D2" s="3433"/>
      <c r="E2" s="3433"/>
      <c r="H2" s="792"/>
      <c r="I2" s="204"/>
      <c r="J2" s="792"/>
      <c r="K2" s="792"/>
      <c r="L2" s="792"/>
      <c r="M2" s="204"/>
      <c r="N2" s="587"/>
      <c r="O2" s="792"/>
      <c r="P2" s="792"/>
      <c r="Q2" s="792"/>
      <c r="CF2" s="605"/>
    </row>
    <row r="3" spans="1:84" s="604" customFormat="1" ht="26.25" customHeight="1" x14ac:dyDescent="0.25">
      <c r="A3" s="3437" t="e">
        <f>#REF!</f>
        <v>#REF!</v>
      </c>
      <c r="B3" s="3437"/>
      <c r="C3" s="3437"/>
      <c r="D3" s="3437"/>
      <c r="E3" s="3437"/>
      <c r="H3" s="792"/>
      <c r="I3" s="204"/>
      <c r="J3" s="792"/>
      <c r="K3" s="792"/>
      <c r="L3" s="792"/>
      <c r="M3" s="204"/>
      <c r="N3" s="587"/>
      <c r="O3" s="792"/>
      <c r="P3" s="792"/>
      <c r="Q3" s="792"/>
      <c r="CF3" s="605"/>
    </row>
    <row r="4" spans="1:84" s="607" customFormat="1" ht="27" customHeight="1" x14ac:dyDescent="0.25">
      <c r="A4" s="606"/>
      <c r="B4" s="3434" t="s">
        <v>173</v>
      </c>
      <c r="C4" s="3434"/>
      <c r="D4" s="3434"/>
      <c r="E4" s="3434"/>
      <c r="H4" s="792"/>
      <c r="I4" s="204"/>
      <c r="J4" s="792"/>
      <c r="K4" s="792"/>
      <c r="L4" s="792"/>
      <c r="M4" s="204"/>
      <c r="N4" s="587"/>
      <c r="O4" s="792"/>
      <c r="P4" s="792"/>
      <c r="Q4" s="792"/>
      <c r="CF4" s="608"/>
    </row>
    <row r="5" spans="1:84" s="611" customFormat="1" ht="21" customHeight="1" x14ac:dyDescent="0.2">
      <c r="A5" s="3435" t="s">
        <v>0</v>
      </c>
      <c r="B5" s="3435" t="s">
        <v>1</v>
      </c>
      <c r="C5" s="3436" t="s">
        <v>493</v>
      </c>
      <c r="D5" s="3436"/>
      <c r="E5" s="3436"/>
      <c r="H5" s="204"/>
      <c r="I5" s="204"/>
      <c r="J5" s="204"/>
      <c r="K5" s="204"/>
      <c r="L5" s="204"/>
      <c r="M5" s="204"/>
      <c r="N5" s="587"/>
      <c r="O5" s="204"/>
      <c r="P5" s="204"/>
      <c r="Q5" s="204"/>
      <c r="CF5" s="612"/>
    </row>
    <row r="6" spans="1:84" s="611" customFormat="1" ht="28.5" customHeight="1" x14ac:dyDescent="0.2">
      <c r="A6" s="3435"/>
      <c r="B6" s="3435"/>
      <c r="C6" s="609" t="s">
        <v>13</v>
      </c>
      <c r="D6" s="613" t="s">
        <v>495</v>
      </c>
      <c r="E6" s="610" t="s">
        <v>496</v>
      </c>
      <c r="H6" s="204"/>
      <c r="I6" s="204"/>
      <c r="J6" s="204"/>
      <c r="K6" s="204"/>
      <c r="L6" s="204"/>
      <c r="M6" s="204"/>
      <c r="N6" s="587"/>
      <c r="O6" s="204"/>
      <c r="P6" s="204"/>
      <c r="Q6" s="204"/>
      <c r="CF6" s="612"/>
    </row>
    <row r="7" spans="1:84" s="611" customFormat="1" ht="22.5" customHeight="1" x14ac:dyDescent="0.2">
      <c r="A7" s="609" t="s">
        <v>3</v>
      </c>
      <c r="B7" s="609" t="s">
        <v>4</v>
      </c>
      <c r="C7" s="610" t="s">
        <v>630</v>
      </c>
      <c r="D7" s="614">
        <v>2</v>
      </c>
      <c r="E7" s="614">
        <v>3</v>
      </c>
      <c r="H7" s="793">
        <f>'57_NĐ31'!K9</f>
        <v>2893754.9080000063</v>
      </c>
      <c r="I7" s="794">
        <f>H7-D8</f>
        <v>2891819.5586590064</v>
      </c>
      <c r="J7" s="204"/>
      <c r="K7" s="204"/>
      <c r="L7" s="204"/>
      <c r="M7" s="204"/>
      <c r="N7" s="587"/>
      <c r="O7" s="204"/>
      <c r="P7" s="204"/>
      <c r="Q7" s="204"/>
      <c r="CF7" s="612"/>
    </row>
    <row r="8" spans="1:84" s="611" customFormat="1" ht="25.5" customHeight="1" x14ac:dyDescent="0.2">
      <c r="A8" s="609" t="s">
        <v>3</v>
      </c>
      <c r="B8" s="615" t="s">
        <v>722</v>
      </c>
      <c r="C8" s="1100">
        <f>SUM(C9,C16)</f>
        <v>2460.3565189999999</v>
      </c>
      <c r="D8" s="1092">
        <f>SUM(D9,D16)</f>
        <v>1935.3493410000001</v>
      </c>
      <c r="E8" s="1103">
        <f>SUM(E9,E16)</f>
        <v>525.00717800000007</v>
      </c>
      <c r="G8" s="611">
        <f>E8+D8</f>
        <v>2460.3565189999999</v>
      </c>
      <c r="H8" s="242"/>
      <c r="I8" s="242"/>
      <c r="J8" s="242"/>
      <c r="K8" s="242"/>
      <c r="L8" s="242"/>
      <c r="M8" s="242"/>
      <c r="N8" s="311"/>
      <c r="O8" s="242"/>
      <c r="P8" s="242"/>
      <c r="Q8" s="242"/>
      <c r="CF8" s="612"/>
    </row>
    <row r="9" spans="1:84" s="611" customFormat="1" ht="27.75" customHeight="1" x14ac:dyDescent="0.2">
      <c r="A9" s="609" t="s">
        <v>5</v>
      </c>
      <c r="B9" s="615" t="s">
        <v>494</v>
      </c>
      <c r="C9" s="1156">
        <f>C10+C12</f>
        <v>239.85094199999997</v>
      </c>
      <c r="D9" s="616">
        <f>D10+D12</f>
        <v>17.023</v>
      </c>
      <c r="E9" s="1103">
        <f>E10+E12</f>
        <v>222.82794200000001</v>
      </c>
      <c r="H9" s="242"/>
      <c r="I9" s="242"/>
      <c r="J9" s="242"/>
      <c r="K9" s="242"/>
      <c r="L9" s="242"/>
      <c r="M9" s="242"/>
      <c r="N9" s="311"/>
      <c r="O9" s="242"/>
      <c r="P9" s="242"/>
      <c r="Q9" s="242"/>
      <c r="CF9" s="612"/>
    </row>
    <row r="10" spans="1:84" s="611" customFormat="1" ht="36.75" customHeight="1" x14ac:dyDescent="0.2">
      <c r="A10" s="609">
        <v>1</v>
      </c>
      <c r="B10" s="615" t="s">
        <v>671</v>
      </c>
      <c r="C10" s="1156">
        <f>SUM(C11:C11)</f>
        <v>14.634</v>
      </c>
      <c r="D10" s="616">
        <f>SUM(D11:D11)</f>
        <v>0</v>
      </c>
      <c r="E10" s="1103">
        <f>SUM(E11:E11)</f>
        <v>14.634</v>
      </c>
      <c r="H10" s="795"/>
      <c r="I10" s="796"/>
      <c r="J10" s="242"/>
      <c r="K10" s="242"/>
      <c r="L10" s="242"/>
      <c r="M10" s="242"/>
      <c r="N10" s="311"/>
      <c r="O10" s="242"/>
      <c r="P10" s="242"/>
      <c r="Q10" s="242"/>
      <c r="CF10" s="612"/>
    </row>
    <row r="11" spans="1:84" s="1112" customFormat="1" ht="21.75" customHeight="1" x14ac:dyDescent="0.2">
      <c r="A11" s="1107"/>
      <c r="B11" s="1108" t="s">
        <v>712</v>
      </c>
      <c r="C11" s="1157">
        <f>D11+E11</f>
        <v>14.634</v>
      </c>
      <c r="D11" s="1110"/>
      <c r="E11" s="1111">
        <v>14.634</v>
      </c>
      <c r="G11" s="1113"/>
      <c r="H11" s="1114"/>
      <c r="I11" s="1115"/>
      <c r="J11" s="1116"/>
      <c r="K11" s="1116"/>
      <c r="L11" s="1116"/>
      <c r="M11" s="1116"/>
      <c r="N11" s="1117"/>
      <c r="O11" s="1116"/>
      <c r="P11" s="1116"/>
      <c r="Q11" s="1116"/>
      <c r="CF11" s="1118"/>
    </row>
    <row r="12" spans="1:84" s="611" customFormat="1" ht="25.5" customHeight="1" x14ac:dyDescent="0.2">
      <c r="A12" s="609">
        <v>2</v>
      </c>
      <c r="B12" s="84" t="s">
        <v>723</v>
      </c>
      <c r="C12" s="1156">
        <f t="shared" ref="C12:D12" si="0">C13+C14+C15</f>
        <v>225.21694199999999</v>
      </c>
      <c r="D12" s="616">
        <f t="shared" si="0"/>
        <v>17.023</v>
      </c>
      <c r="E12" s="1103">
        <f>E13+E14+E15</f>
        <v>208.19394199999999</v>
      </c>
      <c r="H12" s="799"/>
      <c r="I12" s="800"/>
      <c r="J12" s="801"/>
      <c r="K12" s="801"/>
      <c r="L12" s="801"/>
      <c r="M12" s="801"/>
      <c r="N12" s="802"/>
      <c r="O12" s="801"/>
      <c r="P12" s="801"/>
      <c r="Q12" s="801"/>
      <c r="CF12" s="612"/>
    </row>
    <row r="13" spans="1:84" s="1112" customFormat="1" ht="42" customHeight="1" x14ac:dyDescent="0.2">
      <c r="A13" s="1107"/>
      <c r="B13" s="1108" t="s">
        <v>896</v>
      </c>
      <c r="C13" s="1157">
        <f t="shared" ref="C13:C15" si="1">D13+E13</f>
        <v>200</v>
      </c>
      <c r="D13" s="1109"/>
      <c r="E13" s="1111">
        <f>200</f>
        <v>200</v>
      </c>
      <c r="F13" s="1113"/>
      <c r="G13" s="1129"/>
      <c r="H13" s="1130"/>
      <c r="I13" s="1131"/>
      <c r="J13" s="1127"/>
      <c r="K13" s="1127"/>
      <c r="L13" s="1127"/>
      <c r="M13" s="1127"/>
      <c r="N13" s="1128"/>
      <c r="O13" s="1127"/>
      <c r="P13" s="1127"/>
      <c r="Q13" s="1127"/>
      <c r="CF13" s="1118"/>
    </row>
    <row r="14" spans="1:84" s="1112" customFormat="1" ht="42" customHeight="1" x14ac:dyDescent="0.2">
      <c r="A14" s="1107"/>
      <c r="B14" s="1108" t="s">
        <v>897</v>
      </c>
      <c r="C14" s="1157">
        <f t="shared" si="1"/>
        <v>8.1939419999999998</v>
      </c>
      <c r="D14" s="1109"/>
      <c r="E14" s="1111">
        <f>8.193942</f>
        <v>8.1939419999999998</v>
      </c>
      <c r="F14" s="1113"/>
      <c r="G14" s="1129"/>
      <c r="H14" s="1130"/>
      <c r="I14" s="1131"/>
      <c r="J14" s="1127"/>
      <c r="K14" s="1127"/>
      <c r="L14" s="1127"/>
      <c r="M14" s="1127"/>
      <c r="N14" s="1128"/>
      <c r="O14" s="1127"/>
      <c r="P14" s="1127"/>
      <c r="Q14" s="1127"/>
      <c r="CF14" s="1118"/>
    </row>
    <row r="15" spans="1:84" s="611" customFormat="1" ht="30.75" customHeight="1" x14ac:dyDescent="0.2">
      <c r="A15" s="618"/>
      <c r="B15" s="459" t="s">
        <v>777</v>
      </c>
      <c r="C15" s="1158">
        <f t="shared" si="1"/>
        <v>17.023</v>
      </c>
      <c r="D15" s="620">
        <v>17.023</v>
      </c>
      <c r="E15" s="1104"/>
      <c r="G15" s="621"/>
      <c r="H15" s="806"/>
      <c r="I15" s="803"/>
      <c r="J15" s="804"/>
      <c r="K15" s="804"/>
      <c r="L15" s="804"/>
      <c r="M15" s="804"/>
      <c r="N15" s="805"/>
      <c r="O15" s="804"/>
      <c r="P15" s="804"/>
      <c r="Q15" s="804"/>
      <c r="CF15" s="612"/>
    </row>
    <row r="16" spans="1:84" s="623" customFormat="1" ht="19.5" customHeight="1" x14ac:dyDescent="0.25">
      <c r="A16" s="609" t="s">
        <v>11</v>
      </c>
      <c r="B16" s="615" t="s">
        <v>535</v>
      </c>
      <c r="C16" s="1156">
        <f>SUM(C17,C21,C27,C29)</f>
        <v>2220.5055769999999</v>
      </c>
      <c r="D16" s="616">
        <f>SUM(D17,D21,D27,D29)</f>
        <v>1918.3263410000002</v>
      </c>
      <c r="E16" s="1100">
        <f>SUM(E17,E21,E27,E29)</f>
        <v>302.17923600000006</v>
      </c>
      <c r="G16" s="624"/>
      <c r="H16" s="807"/>
      <c r="I16" s="804"/>
      <c r="J16" s="804"/>
      <c r="L16" s="804"/>
      <c r="M16" s="804"/>
      <c r="N16" s="805"/>
      <c r="O16" s="804"/>
      <c r="P16" s="804"/>
      <c r="Q16" s="804"/>
      <c r="CF16" s="625"/>
    </row>
    <row r="17" spans="1:84" s="611" customFormat="1" ht="40.5" customHeight="1" x14ac:dyDescent="0.2">
      <c r="A17" s="609">
        <v>1</v>
      </c>
      <c r="B17" s="615" t="s">
        <v>671</v>
      </c>
      <c r="C17" s="1156">
        <f>SUM(C18:C20)</f>
        <v>102.355782</v>
      </c>
      <c r="D17" s="616">
        <f t="shared" ref="D17" si="2">SUM(D18:D20)</f>
        <v>0</v>
      </c>
      <c r="E17" s="1099">
        <f>SUM(E18:E20)</f>
        <v>102.355782</v>
      </c>
      <c r="G17" s="311" t="s">
        <v>710</v>
      </c>
      <c r="H17" s="311" t="s">
        <v>624</v>
      </c>
      <c r="I17" s="311" t="s">
        <v>623</v>
      </c>
      <c r="J17" s="311" t="s">
        <v>716</v>
      </c>
      <c r="K17" s="311" t="s">
        <v>608</v>
      </c>
      <c r="L17" s="311" t="s">
        <v>715</v>
      </c>
      <c r="O17" s="801"/>
      <c r="P17" s="801"/>
      <c r="Q17" s="801"/>
      <c r="CF17" s="612"/>
    </row>
    <row r="18" spans="1:84" s="1112" customFormat="1" ht="30" customHeight="1" x14ac:dyDescent="0.2">
      <c r="A18" s="1107"/>
      <c r="B18" s="1108" t="s">
        <v>718</v>
      </c>
      <c r="C18" s="1157">
        <f>SUM(D18:E18)</f>
        <v>16.014188000000001</v>
      </c>
      <c r="D18" s="1132"/>
      <c r="E18" s="1133">
        <f>6.014188+10</f>
        <v>16.014188000000001</v>
      </c>
      <c r="G18" s="1134"/>
      <c r="H18" s="1135">
        <f>E11+E20+E25</f>
        <v>104.01151</v>
      </c>
      <c r="I18" s="1135">
        <f>E14+E13+E18+E24+E43</f>
        <v>347.48312999999996</v>
      </c>
      <c r="J18" s="1146">
        <f>E23</f>
        <v>127.31178200000001</v>
      </c>
      <c r="K18" s="1146">
        <f>E19+E22+E28</f>
        <v>46.200755999999998</v>
      </c>
      <c r="L18" s="1135">
        <f>SUM(H18:K18)</f>
        <v>625.00717799999995</v>
      </c>
      <c r="M18" s="1127"/>
      <c r="N18" s="1128"/>
      <c r="O18" s="1127"/>
      <c r="P18" s="1127"/>
      <c r="Q18" s="1127"/>
      <c r="CF18" s="1118"/>
    </row>
    <row r="19" spans="1:84" s="611" customFormat="1" ht="29.25" customHeight="1" x14ac:dyDescent="0.25">
      <c r="A19" s="808"/>
      <c r="B19" s="619" t="s">
        <v>717</v>
      </c>
      <c r="C19" s="1156">
        <f t="shared" ref="C19:C20" si="3">SUM(D19:E19)</f>
        <v>37.320899999999995</v>
      </c>
      <c r="D19" s="809"/>
      <c r="E19" s="1102">
        <f>19.2169+18.104</f>
        <v>37.320899999999995</v>
      </c>
      <c r="G19" s="629"/>
      <c r="H19" s="804"/>
      <c r="I19" s="804"/>
      <c r="J19" s="804"/>
      <c r="K19" s="804"/>
      <c r="L19" s="804"/>
      <c r="M19" s="804"/>
      <c r="N19" s="805"/>
      <c r="O19" s="804"/>
      <c r="P19" s="804"/>
      <c r="Q19" s="804"/>
      <c r="U19" s="611">
        <f>E20+E11</f>
        <v>63.654693999999999</v>
      </c>
      <c r="CF19" s="612"/>
    </row>
    <row r="20" spans="1:84" s="1112" customFormat="1" ht="29.25" customHeight="1" x14ac:dyDescent="0.2">
      <c r="A20" s="1124"/>
      <c r="B20" s="1108" t="s">
        <v>712</v>
      </c>
      <c r="C20" s="1159">
        <f t="shared" si="3"/>
        <v>49.020693999999999</v>
      </c>
      <c r="D20" s="1125"/>
      <c r="E20" s="1126">
        <v>49.020693999999999</v>
      </c>
      <c r="H20" s="1127" t="s">
        <v>923</v>
      </c>
      <c r="I20" s="1127" t="s">
        <v>785</v>
      </c>
      <c r="J20" s="1127" t="s">
        <v>924</v>
      </c>
      <c r="K20" s="1127"/>
      <c r="L20" s="1127"/>
      <c r="M20" s="1127"/>
      <c r="N20" s="1128"/>
      <c r="O20" s="1127"/>
      <c r="P20" s="1127"/>
      <c r="Q20" s="1127"/>
      <c r="CF20" s="1118"/>
    </row>
    <row r="21" spans="1:84" s="611" customFormat="1" ht="25.5" customHeight="1" x14ac:dyDescent="0.25">
      <c r="A21" s="627">
        <v>2</v>
      </c>
      <c r="B21" s="628" t="s">
        <v>720</v>
      </c>
      <c r="C21" s="1156">
        <f>SUM(C22:C26)</f>
        <v>200.90529800000002</v>
      </c>
      <c r="D21" s="622">
        <f>SUM(D22:D26)</f>
        <v>1.3512000000000164</v>
      </c>
      <c r="E21" s="1091">
        <f>SUM(E22:E26)</f>
        <v>199.55409800000001</v>
      </c>
      <c r="G21" s="629"/>
      <c r="H21" s="1106">
        <f>I18+J18</f>
        <v>474.79491199999995</v>
      </c>
      <c r="I21" s="1106">
        <f>H18</f>
        <v>104.01151</v>
      </c>
      <c r="J21" s="806">
        <f>K18</f>
        <v>46.200755999999998</v>
      </c>
      <c r="L21" s="1106">
        <f>SUM(H21:J21)</f>
        <v>625.00717799999995</v>
      </c>
      <c r="M21" s="804"/>
      <c r="N21" s="805"/>
      <c r="O21" s="804"/>
      <c r="P21" s="804"/>
      <c r="Q21" s="804"/>
      <c r="CF21" s="612"/>
    </row>
    <row r="22" spans="1:84" s="623" customFormat="1" ht="19.5" customHeight="1" x14ac:dyDescent="0.25">
      <c r="A22" s="810"/>
      <c r="B22" s="619" t="s">
        <v>717</v>
      </c>
      <c r="C22" s="1158">
        <f>D22+E22</f>
        <v>8.6105</v>
      </c>
      <c r="D22" s="626"/>
      <c r="E22" s="1101">
        <v>8.6105</v>
      </c>
      <c r="F22" s="634">
        <f>E22+E28+E19</f>
        <v>46.200755999999998</v>
      </c>
      <c r="G22" s="629"/>
      <c r="H22" s="804"/>
      <c r="I22" s="804"/>
      <c r="J22" s="804"/>
      <c r="K22" s="804"/>
      <c r="L22" s="804"/>
      <c r="M22" s="804"/>
      <c r="N22" s="805"/>
      <c r="O22" s="804"/>
      <c r="P22" s="804"/>
      <c r="Q22" s="804"/>
      <c r="CF22" s="625"/>
    </row>
    <row r="23" spans="1:84" s="623" customFormat="1" ht="21.75" customHeight="1" x14ac:dyDescent="0.25">
      <c r="A23" s="630"/>
      <c r="B23" s="619" t="s">
        <v>721</v>
      </c>
      <c r="C23" s="1158">
        <f>D23+E23</f>
        <v>127.31178200000001</v>
      </c>
      <c r="D23" s="616"/>
      <c r="E23" s="1098">
        <f>24.88822+102.423562</f>
        <v>127.31178200000001</v>
      </c>
      <c r="G23" s="629"/>
      <c r="H23" s="204"/>
      <c r="I23" s="204"/>
      <c r="J23" s="204"/>
      <c r="K23" s="204"/>
      <c r="L23" s="204"/>
      <c r="M23" s="204"/>
      <c r="N23" s="587"/>
      <c r="O23" s="204"/>
      <c r="P23" s="204"/>
      <c r="Q23" s="204"/>
      <c r="CF23" s="625"/>
    </row>
    <row r="24" spans="1:84" s="1121" customFormat="1" ht="21.75" customHeight="1" x14ac:dyDescent="0.25">
      <c r="A24" s="1119"/>
      <c r="B24" s="1108" t="s">
        <v>713</v>
      </c>
      <c r="C24" s="1157">
        <f>D24+E24</f>
        <v>23.275000000000002</v>
      </c>
      <c r="D24" s="1110"/>
      <c r="E24" s="1136">
        <f>23.27689-0.00189</f>
        <v>23.275000000000002</v>
      </c>
      <c r="G24" s="1137"/>
      <c r="H24" s="1138"/>
      <c r="I24" s="1116"/>
      <c r="J24" s="1116"/>
      <c r="K24" s="1116"/>
      <c r="L24" s="1116"/>
      <c r="M24" s="1116"/>
      <c r="N24" s="1117"/>
      <c r="O24" s="1116"/>
      <c r="P24" s="1116"/>
      <c r="Q24" s="1116"/>
      <c r="CF24" s="1123"/>
    </row>
    <row r="25" spans="1:84" s="1121" customFormat="1" ht="21.75" customHeight="1" x14ac:dyDescent="0.3">
      <c r="A25" s="1119"/>
      <c r="B25" s="1108" t="s">
        <v>712</v>
      </c>
      <c r="C25" s="1157">
        <f>D25+E25</f>
        <v>40.356816000000002</v>
      </c>
      <c r="D25" s="1110"/>
      <c r="E25" s="1120">
        <v>40.356816000000002</v>
      </c>
      <c r="G25" s="1122"/>
      <c r="H25" s="1116"/>
      <c r="I25" s="1116"/>
      <c r="J25" s="1116"/>
      <c r="K25" s="1116"/>
      <c r="L25" s="1116"/>
      <c r="M25" s="1116"/>
      <c r="N25" s="1117"/>
      <c r="O25" s="1116"/>
      <c r="P25" s="1116"/>
      <c r="Q25" s="1116"/>
      <c r="CF25" s="1123"/>
    </row>
    <row r="26" spans="1:84" s="623" customFormat="1" ht="36.75" customHeight="1" x14ac:dyDescent="0.3">
      <c r="A26" s="630"/>
      <c r="B26" s="619" t="s">
        <v>826</v>
      </c>
      <c r="C26" s="1158">
        <f>D26+E26</f>
        <v>1.3512000000000164</v>
      </c>
      <c r="D26" s="622">
        <v>1.3512000000000164</v>
      </c>
      <c r="E26" s="620"/>
      <c r="G26" s="811"/>
      <c r="H26" s="204"/>
      <c r="I26" s="204"/>
      <c r="J26" s="204"/>
      <c r="K26" s="204"/>
      <c r="L26" s="204"/>
      <c r="M26" s="204"/>
      <c r="N26" s="587"/>
      <c r="O26" s="204"/>
      <c r="P26" s="204"/>
      <c r="Q26" s="204"/>
      <c r="CF26" s="625"/>
    </row>
    <row r="27" spans="1:84" s="611" customFormat="1" ht="21.75" customHeight="1" x14ac:dyDescent="0.25">
      <c r="A27" s="630">
        <v>3</v>
      </c>
      <c r="B27" s="84" t="s">
        <v>789</v>
      </c>
      <c r="C27" s="1156">
        <f>C28</f>
        <v>0.26935599999999998</v>
      </c>
      <c r="D27" s="622">
        <f t="shared" ref="D27:E27" si="4">D28</f>
        <v>0</v>
      </c>
      <c r="E27" s="617">
        <f t="shared" si="4"/>
        <v>0.26935599999999998</v>
      </c>
      <c r="G27" s="629"/>
      <c r="H27" s="242" t="s">
        <v>760</v>
      </c>
      <c r="I27" s="311" t="s">
        <v>706</v>
      </c>
      <c r="J27" s="242"/>
      <c r="K27" s="242"/>
      <c r="L27" s="242"/>
      <c r="M27" s="242"/>
      <c r="N27" s="311"/>
      <c r="O27" s="242"/>
      <c r="P27" s="242"/>
      <c r="Q27" s="242"/>
      <c r="CF27" s="612"/>
    </row>
    <row r="28" spans="1:84" s="623" customFormat="1" ht="21.75" customHeight="1" x14ac:dyDescent="0.25">
      <c r="A28" s="630"/>
      <c r="B28" s="619" t="s">
        <v>717</v>
      </c>
      <c r="C28" s="1158">
        <f>D28+E28</f>
        <v>0.26935599999999998</v>
      </c>
      <c r="D28" s="616"/>
      <c r="E28" s="812">
        <v>0.26935599999999998</v>
      </c>
      <c r="G28" s="634"/>
      <c r="H28" s="797">
        <f>D37+D36+D30+3.76</f>
        <v>1060.50685</v>
      </c>
      <c r="I28" s="516">
        <f>'57_NĐ31'!K19</f>
        <v>71000.703000000329</v>
      </c>
      <c r="J28" s="204"/>
      <c r="K28" s="813"/>
      <c r="L28" s="204"/>
      <c r="M28" s="204"/>
      <c r="N28" s="587"/>
      <c r="O28" s="204"/>
      <c r="P28" s="204"/>
      <c r="Q28" s="204"/>
      <c r="CF28" s="625"/>
    </row>
    <row r="29" spans="1:84" s="623" customFormat="1" ht="28.5" customHeight="1" x14ac:dyDescent="0.25">
      <c r="A29" s="609">
        <v>4</v>
      </c>
      <c r="B29" s="615" t="s">
        <v>788</v>
      </c>
      <c r="C29" s="1156">
        <f>SUM(C30:C40)</f>
        <v>1916.9751410000001</v>
      </c>
      <c r="D29" s="622">
        <f>SUM(D30:D40)</f>
        <v>1916.9751410000001</v>
      </c>
      <c r="E29" s="616">
        <f>SUM(E30:E37)</f>
        <v>0</v>
      </c>
      <c r="H29" s="806">
        <f>'57_NĐ31'!K15</f>
        <v>43992.319000000134</v>
      </c>
      <c r="I29" s="814">
        <f>SUM(D33,D35,D38,D39,D34,D47,D46,D40)-3.76</f>
        <v>857.85786700009999</v>
      </c>
      <c r="J29" s="815"/>
      <c r="K29" s="816"/>
      <c r="L29" s="804"/>
      <c r="M29" s="804"/>
      <c r="N29" s="805"/>
      <c r="O29" s="804"/>
      <c r="P29" s="804"/>
      <c r="Q29" s="804"/>
      <c r="CF29" s="625"/>
    </row>
    <row r="30" spans="1:84" s="623" customFormat="1" ht="32.25" customHeight="1" x14ac:dyDescent="0.25">
      <c r="A30" s="631" t="s">
        <v>605</v>
      </c>
      <c r="B30" s="632" t="s">
        <v>640</v>
      </c>
      <c r="C30" s="1160">
        <f>SUM(D30:E30)</f>
        <v>33.286000000000001</v>
      </c>
      <c r="D30" s="675">
        <v>33.286000000000001</v>
      </c>
      <c r="E30" s="633"/>
      <c r="G30" s="634"/>
      <c r="H30" s="797"/>
      <c r="I30" s="516">
        <f>I28-I29</f>
        <v>70142.845133000228</v>
      </c>
      <c r="J30" s="204"/>
      <c r="K30" s="813"/>
      <c r="L30" s="204"/>
      <c r="M30" s="204"/>
      <c r="N30" s="587"/>
      <c r="O30" s="204"/>
      <c r="P30" s="204"/>
      <c r="Q30" s="204"/>
      <c r="CF30" s="625"/>
    </row>
    <row r="31" spans="1:84" s="607" customFormat="1" ht="31.5" x14ac:dyDescent="0.25">
      <c r="A31" s="631" t="s">
        <v>606</v>
      </c>
      <c r="B31" s="635" t="s">
        <v>681</v>
      </c>
      <c r="C31" s="1160">
        <f>SUM(D31:E31)</f>
        <v>1.6589</v>
      </c>
      <c r="D31" s="677">
        <v>1.6589</v>
      </c>
      <c r="E31" s="633"/>
      <c r="G31" s="636"/>
      <c r="H31" s="798"/>
      <c r="I31" s="798"/>
      <c r="J31" s="817"/>
      <c r="K31" s="813"/>
      <c r="L31" s="204"/>
      <c r="M31" s="204"/>
      <c r="N31" s="587"/>
      <c r="O31" s="204"/>
      <c r="P31" s="204"/>
      <c r="Q31" s="204"/>
      <c r="CF31" s="608"/>
    </row>
    <row r="32" spans="1:84" s="607" customFormat="1" ht="32.25" customHeight="1" x14ac:dyDescent="0.25">
      <c r="A32" s="631" t="s">
        <v>615</v>
      </c>
      <c r="B32" s="637" t="s">
        <v>648</v>
      </c>
      <c r="C32" s="1161">
        <f t="shared" ref="C32:C40" si="5">SUM(D32:E32)</f>
        <v>0</v>
      </c>
      <c r="D32" s="640"/>
      <c r="E32" s="638"/>
      <c r="H32" s="796"/>
      <c r="I32" s="798"/>
      <c r="J32" s="204"/>
      <c r="K32" s="813"/>
      <c r="L32" s="204"/>
      <c r="M32" s="242"/>
      <c r="N32" s="311"/>
      <c r="O32" s="242"/>
      <c r="P32" s="242"/>
      <c r="Q32" s="204"/>
      <c r="CF32" s="608"/>
    </row>
    <row r="33" spans="1:84" s="607" customFormat="1" ht="41.25" customHeight="1" x14ac:dyDescent="0.25">
      <c r="A33" s="631" t="s">
        <v>616</v>
      </c>
      <c r="B33" s="639" t="s">
        <v>642</v>
      </c>
      <c r="C33" s="1161">
        <f t="shared" si="5"/>
        <v>0.60487899999999994</v>
      </c>
      <c r="D33" s="640">
        <v>0.60487899999999994</v>
      </c>
      <c r="E33" s="638"/>
      <c r="H33" s="818"/>
      <c r="I33" s="796"/>
      <c r="J33" s="242"/>
      <c r="K33" s="819"/>
      <c r="L33" s="242"/>
      <c r="M33" s="204"/>
      <c r="N33" s="587"/>
      <c r="O33" s="204"/>
      <c r="P33" s="204"/>
      <c r="Q33" s="561"/>
      <c r="CF33" s="608"/>
    </row>
    <row r="34" spans="1:84" s="607" customFormat="1" ht="45.75" customHeight="1" x14ac:dyDescent="0.25">
      <c r="A34" s="631" t="s">
        <v>617</v>
      </c>
      <c r="B34" s="639" t="s">
        <v>593</v>
      </c>
      <c r="C34" s="1161">
        <f t="shared" si="5"/>
        <v>768.04300000000001</v>
      </c>
      <c r="D34" s="640">
        <f>3.76+764.283</f>
        <v>768.04300000000001</v>
      </c>
      <c r="E34" s="638"/>
      <c r="I34" s="662"/>
      <c r="Q34" s="204"/>
      <c r="CF34" s="608"/>
    </row>
    <row r="35" spans="1:84" s="607" customFormat="1" ht="21.75" customHeight="1" x14ac:dyDescent="0.25">
      <c r="A35" s="631" t="s">
        <v>618</v>
      </c>
      <c r="B35" s="641" t="s">
        <v>646</v>
      </c>
      <c r="C35" s="1161">
        <f t="shared" si="5"/>
        <v>4.6026670000000003</v>
      </c>
      <c r="D35" s="640">
        <v>4.6026670000000003</v>
      </c>
      <c r="E35" s="638"/>
      <c r="G35" s="642"/>
      <c r="Q35" s="502"/>
      <c r="CF35" s="608"/>
    </row>
    <row r="36" spans="1:84" s="607" customFormat="1" ht="57" customHeight="1" x14ac:dyDescent="0.25">
      <c r="A36" s="631" t="s">
        <v>619</v>
      </c>
      <c r="B36" s="69" t="s">
        <v>670</v>
      </c>
      <c r="C36" s="1161">
        <f t="shared" si="5"/>
        <v>235.99084999999999</v>
      </c>
      <c r="D36" s="640">
        <f>36.202+199.78885</f>
        <v>235.99084999999999</v>
      </c>
      <c r="E36" s="638"/>
      <c r="G36" s="636">
        <v>1.3512000000000164</v>
      </c>
      <c r="H36" s="820"/>
      <c r="O36" s="643"/>
      <c r="Q36" s="502"/>
      <c r="CF36" s="608"/>
    </row>
    <row r="37" spans="1:84" s="607" customFormat="1" ht="34.5" customHeight="1" x14ac:dyDescent="0.25">
      <c r="A37" s="631" t="s">
        <v>621</v>
      </c>
      <c r="B37" s="637" t="s">
        <v>672</v>
      </c>
      <c r="C37" s="1161">
        <f t="shared" si="5"/>
        <v>787.47</v>
      </c>
      <c r="D37" s="640">
        <v>787.47</v>
      </c>
      <c r="E37" s="644"/>
      <c r="I37" s="636"/>
      <c r="M37" s="645">
        <f>E23</f>
        <v>127.31178200000001</v>
      </c>
      <c r="N37" s="645">
        <f>'5.13'!J16</f>
        <v>46.200755999989269</v>
      </c>
      <c r="O37" s="643" t="e">
        <f>O44+E24++E18+E13+#REF!</f>
        <v>#REF!</v>
      </c>
      <c r="Q37" s="502"/>
      <c r="CF37" s="608"/>
    </row>
    <row r="38" spans="1:84" s="607" customFormat="1" ht="34.5" customHeight="1" x14ac:dyDescent="0.25">
      <c r="A38" s="631" t="s">
        <v>622</v>
      </c>
      <c r="B38" s="646" t="s">
        <v>819</v>
      </c>
      <c r="C38" s="1161">
        <f t="shared" si="5"/>
        <v>11.913399999999999</v>
      </c>
      <c r="D38" s="676">
        <v>11.913399999999999</v>
      </c>
      <c r="E38" s="644"/>
      <c r="I38" s="642"/>
      <c r="M38" s="645"/>
      <c r="O38" s="643"/>
      <c r="Q38" s="502"/>
      <c r="CF38" s="608"/>
    </row>
    <row r="39" spans="1:84" s="607" customFormat="1" ht="34.5" customHeight="1" x14ac:dyDescent="0.25">
      <c r="A39" s="631" t="s">
        <v>827</v>
      </c>
      <c r="B39" s="646" t="s">
        <v>820</v>
      </c>
      <c r="C39" s="1161">
        <f t="shared" si="5"/>
        <v>4.1445000000000003E-2</v>
      </c>
      <c r="D39" s="676">
        <v>4.1445000000000003E-2</v>
      </c>
      <c r="E39" s="644"/>
      <c r="M39" s="645"/>
      <c r="O39" s="643"/>
      <c r="Q39" s="502"/>
      <c r="CF39" s="608"/>
    </row>
    <row r="40" spans="1:84" s="607" customFormat="1" ht="34.5" customHeight="1" x14ac:dyDescent="0.25">
      <c r="A40" s="631" t="s">
        <v>828</v>
      </c>
      <c r="B40" s="646" t="s">
        <v>821</v>
      </c>
      <c r="C40" s="1161">
        <f t="shared" si="5"/>
        <v>73.364000000000004</v>
      </c>
      <c r="D40" s="676">
        <v>73.364000000000004</v>
      </c>
      <c r="E40" s="644"/>
      <c r="M40" s="645"/>
      <c r="N40" s="645">
        <f>E28+E22+E19</f>
        <v>46.200755999999998</v>
      </c>
      <c r="O40" s="643"/>
      <c r="Q40" s="502"/>
      <c r="CF40" s="608"/>
    </row>
    <row r="41" spans="1:84" s="623" customFormat="1" ht="21" customHeight="1" x14ac:dyDescent="0.25">
      <c r="A41" s="609" t="s">
        <v>4</v>
      </c>
      <c r="B41" s="615" t="s">
        <v>629</v>
      </c>
      <c r="C41" s="1092">
        <f>C44+C42</f>
        <v>103.0488960001</v>
      </c>
      <c r="D41" s="1093">
        <f>D44+D42</f>
        <v>3.0484760001</v>
      </c>
      <c r="E41" s="622">
        <f t="shared" ref="E41" si="6">E44+E42</f>
        <v>100.00042000000001</v>
      </c>
      <c r="G41" s="311" t="s">
        <v>586</v>
      </c>
      <c r="H41" s="311" t="s">
        <v>710</v>
      </c>
      <c r="I41" s="311" t="s">
        <v>624</v>
      </c>
      <c r="J41" s="311" t="s">
        <v>719</v>
      </c>
      <c r="K41" s="311" t="s">
        <v>714</v>
      </c>
      <c r="L41" s="311" t="s">
        <v>715</v>
      </c>
      <c r="M41" s="311" t="s">
        <v>716</v>
      </c>
      <c r="N41" s="311" t="s">
        <v>608</v>
      </c>
      <c r="O41" s="311" t="s">
        <v>623</v>
      </c>
      <c r="Q41" s="502"/>
      <c r="CF41" s="625"/>
    </row>
    <row r="42" spans="1:84" s="623" customFormat="1" ht="21" customHeight="1" x14ac:dyDescent="0.25">
      <c r="A42" s="627"/>
      <c r="B42" s="765" t="s">
        <v>494</v>
      </c>
      <c r="C42" s="766">
        <f>C43</f>
        <v>100</v>
      </c>
      <c r="D42" s="727">
        <f t="shared" ref="D42:E42" si="7">D43</f>
        <v>0</v>
      </c>
      <c r="E42" s="727">
        <f t="shared" si="7"/>
        <v>100</v>
      </c>
      <c r="G42" s="311"/>
      <c r="H42" s="311"/>
      <c r="I42" s="311"/>
      <c r="J42" s="311"/>
      <c r="K42" s="311"/>
      <c r="L42" s="311"/>
      <c r="M42" s="311"/>
      <c r="N42" s="311"/>
      <c r="O42" s="311"/>
      <c r="Q42" s="502"/>
      <c r="CF42" s="625"/>
    </row>
    <row r="43" spans="1:84" s="1121" customFormat="1" ht="43.5" customHeight="1" x14ac:dyDescent="0.25">
      <c r="A43" s="1139"/>
      <c r="B43" s="1140" t="s">
        <v>854</v>
      </c>
      <c r="C43" s="1141">
        <f>SUM(D43:E43)</f>
        <v>100</v>
      </c>
      <c r="D43" s="1142"/>
      <c r="E43" s="1143">
        <v>100</v>
      </c>
      <c r="G43" s="1144"/>
      <c r="H43" s="1144"/>
      <c r="I43" s="1144"/>
      <c r="J43" s="1144"/>
      <c r="K43" s="1144"/>
      <c r="L43" s="1144"/>
      <c r="M43" s="1144"/>
      <c r="N43" s="1144"/>
      <c r="O43" s="1144"/>
      <c r="Q43" s="1145"/>
      <c r="CF43" s="1123"/>
    </row>
    <row r="44" spans="1:84" s="611" customFormat="1" ht="21" customHeight="1" x14ac:dyDescent="0.2">
      <c r="A44" s="728" t="s">
        <v>5</v>
      </c>
      <c r="B44" s="729" t="s">
        <v>535</v>
      </c>
      <c r="C44" s="767">
        <f>SUM(C45:C45)</f>
        <v>3.0488960001000001</v>
      </c>
      <c r="D44" s="1094">
        <f>SUM(D45:D45)</f>
        <v>3.0484760001</v>
      </c>
      <c r="E44" s="767">
        <f>SUM(E45:E45)</f>
        <v>4.2000000000000002E-4</v>
      </c>
      <c r="G44" s="242"/>
      <c r="H44" s="500">
        <f>SUM(H45:H51)</f>
        <v>0</v>
      </c>
      <c r="I44" s="500">
        <f t="shared" ref="I44:N44" si="8">SUM(I45:I51)</f>
        <v>0</v>
      </c>
      <c r="J44" s="500">
        <f t="shared" si="8"/>
        <v>0</v>
      </c>
      <c r="K44" s="500">
        <f t="shared" si="8"/>
        <v>0</v>
      </c>
      <c r="L44" s="500">
        <f t="shared" si="8"/>
        <v>4.2000000000000002E-4</v>
      </c>
      <c r="M44" s="821">
        <f t="shared" si="8"/>
        <v>0</v>
      </c>
      <c r="N44" s="500">
        <f t="shared" si="8"/>
        <v>0</v>
      </c>
      <c r="O44" s="500">
        <f>SUM(O46:O51)</f>
        <v>0</v>
      </c>
      <c r="Q44" s="502"/>
      <c r="CF44" s="612"/>
    </row>
    <row r="45" spans="1:84" s="607" customFormat="1" ht="54" customHeight="1" x14ac:dyDescent="0.25">
      <c r="A45" s="647">
        <v>1</v>
      </c>
      <c r="B45" s="648" t="s">
        <v>628</v>
      </c>
      <c r="C45" s="768">
        <f>SUM(D45:E45)</f>
        <v>3.0488960001000001</v>
      </c>
      <c r="D45" s="1095">
        <f>D46+D47</f>
        <v>3.0484760001</v>
      </c>
      <c r="E45" s="768">
        <v>4.2000000000000002E-4</v>
      </c>
      <c r="G45" s="649">
        <f>SUM(H45:O45)</f>
        <v>0</v>
      </c>
      <c r="H45" s="822"/>
      <c r="I45" s="204"/>
      <c r="J45" s="204"/>
      <c r="K45" s="204"/>
      <c r="L45" s="204"/>
      <c r="M45" s="587"/>
      <c r="N45" s="204"/>
      <c r="Q45" s="502"/>
      <c r="CF45" s="608"/>
    </row>
    <row r="46" spans="1:84" s="652" customFormat="1" ht="42.75" customHeight="1" x14ac:dyDescent="0.25">
      <c r="A46" s="650"/>
      <c r="B46" s="651" t="s">
        <v>652</v>
      </c>
      <c r="C46" s="769">
        <f>SUM(D46:E46)</f>
        <v>0.40847600010000001</v>
      </c>
      <c r="D46" s="1096">
        <v>0.40847600010000001</v>
      </c>
      <c r="E46" s="654"/>
      <c r="G46" s="649">
        <f>SUM(H46:O46)</f>
        <v>4.2000000000000002E-4</v>
      </c>
      <c r="H46" s="770"/>
      <c r="I46" s="204"/>
      <c r="J46" s="204"/>
      <c r="K46" s="204"/>
      <c r="L46" s="204">
        <v>4.2000000000000002E-4</v>
      </c>
      <c r="M46" s="587"/>
      <c r="N46" s="204"/>
      <c r="O46" s="204"/>
      <c r="Q46" s="502"/>
      <c r="CF46" s="653"/>
    </row>
    <row r="47" spans="1:84" s="652" customFormat="1" ht="27.75" customHeight="1" x14ac:dyDescent="0.25">
      <c r="A47" s="650"/>
      <c r="B47" s="651" t="s">
        <v>823</v>
      </c>
      <c r="C47" s="769">
        <f>SUM(D47:E47)</f>
        <v>2.64</v>
      </c>
      <c r="D47" s="1096">
        <v>2.64</v>
      </c>
      <c r="E47" s="654"/>
      <c r="G47" s="649"/>
      <c r="H47" s="770"/>
      <c r="I47" s="204"/>
      <c r="J47" s="204"/>
      <c r="K47" s="204"/>
      <c r="L47" s="204"/>
      <c r="M47" s="587"/>
      <c r="N47" s="204"/>
      <c r="O47" s="204"/>
      <c r="Q47" s="502"/>
      <c r="CF47" s="653"/>
    </row>
    <row r="48" spans="1:84" s="611" customFormat="1" ht="31.5" customHeight="1" x14ac:dyDescent="0.2">
      <c r="A48" s="609"/>
      <c r="B48" s="609" t="s">
        <v>631</v>
      </c>
      <c r="C48" s="791">
        <f>D48:D49+E48:E49</f>
        <v>2563.4054150001002</v>
      </c>
      <c r="D48" s="1091">
        <f>D8+D41</f>
        <v>1938.3978170001001</v>
      </c>
      <c r="E48" s="791">
        <f>E8+E41</f>
        <v>625.00759800000003</v>
      </c>
      <c r="G48" s="649">
        <f>SUM(H48:O48)</f>
        <v>0</v>
      </c>
      <c r="H48" s="770"/>
      <c r="I48" s="204"/>
      <c r="J48" s="204"/>
      <c r="K48" s="204"/>
      <c r="L48" s="204"/>
      <c r="M48" s="587"/>
      <c r="N48" s="204"/>
      <c r="P48" s="204"/>
      <c r="Q48" s="502"/>
      <c r="CF48" s="612"/>
    </row>
    <row r="49" spans="2:84" s="655" customFormat="1" ht="25.15" customHeight="1" x14ac:dyDescent="0.25">
      <c r="B49" s="656"/>
      <c r="D49" s="657"/>
      <c r="E49" s="658"/>
      <c r="G49" s="649"/>
      <c r="H49" s="770"/>
      <c r="I49" s="204"/>
      <c r="J49" s="204"/>
      <c r="K49" s="204"/>
      <c r="L49" s="204"/>
      <c r="M49" s="587"/>
      <c r="N49" s="204"/>
      <c r="O49" s="204"/>
      <c r="P49" s="204"/>
      <c r="Q49" s="502"/>
      <c r="CF49" s="659"/>
    </row>
    <row r="50" spans="2:84" s="655" customFormat="1" ht="18" customHeight="1" x14ac:dyDescent="0.25">
      <c r="B50" s="656"/>
      <c r="D50" s="660"/>
      <c r="E50" s="658"/>
      <c r="G50" s="649"/>
      <c r="H50" s="770"/>
      <c r="I50" s="242"/>
      <c r="J50" s="242"/>
      <c r="K50" s="242"/>
      <c r="L50" s="242"/>
      <c r="M50" s="311"/>
      <c r="N50" s="242"/>
      <c r="O50" s="242"/>
      <c r="P50" s="792"/>
      <c r="Q50" s="502"/>
      <c r="CF50" s="659"/>
    </row>
    <row r="51" spans="2:84" s="607" customFormat="1" ht="15" x14ac:dyDescent="0.25">
      <c r="B51" s="661"/>
      <c r="D51" s="662"/>
      <c r="E51" s="663"/>
      <c r="G51" s="649"/>
      <c r="H51" s="204"/>
      <c r="I51" s="204"/>
      <c r="J51" s="204"/>
      <c r="K51" s="204"/>
      <c r="L51" s="204"/>
      <c r="M51" s="587"/>
      <c r="N51" s="204"/>
      <c r="O51" s="204"/>
      <c r="P51" s="792"/>
      <c r="Q51" s="502"/>
      <c r="CF51" s="608"/>
    </row>
    <row r="52" spans="2:84" s="607" customFormat="1" ht="25.9" customHeight="1" x14ac:dyDescent="0.25">
      <c r="B52" s="661"/>
      <c r="D52" s="662"/>
      <c r="E52" s="678"/>
      <c r="H52" s="823"/>
      <c r="I52" s="204"/>
      <c r="J52" s="792"/>
      <c r="K52" s="792"/>
      <c r="L52" s="792"/>
      <c r="M52" s="204"/>
      <c r="N52" s="587"/>
      <c r="O52" s="792"/>
      <c r="P52" s="792"/>
      <c r="Q52" s="502"/>
      <c r="CF52" s="608"/>
    </row>
    <row r="53" spans="2:84" ht="30" customHeight="1" x14ac:dyDescent="0.25">
      <c r="D53" s="667"/>
      <c r="E53" s="679"/>
      <c r="Q53" s="502"/>
    </row>
    <row r="54" spans="2:84" x14ac:dyDescent="0.25">
      <c r="D54" s="670"/>
      <c r="E54" s="679"/>
      <c r="H54" s="502"/>
      <c r="I54" s="502"/>
      <c r="J54" s="502"/>
      <c r="K54" s="502"/>
      <c r="L54" s="502"/>
      <c r="M54" s="502"/>
      <c r="N54" s="824"/>
      <c r="O54" s="502"/>
      <c r="P54" s="502"/>
      <c r="Q54" s="502"/>
    </row>
    <row r="55" spans="2:84" x14ac:dyDescent="0.25">
      <c r="D55" s="670"/>
      <c r="E55" s="679"/>
      <c r="H55" s="502"/>
      <c r="I55" s="502"/>
      <c r="J55" s="502"/>
      <c r="K55" s="502"/>
      <c r="L55" s="502"/>
      <c r="M55" s="502"/>
      <c r="N55" s="824"/>
      <c r="O55" s="502"/>
      <c r="P55" s="502"/>
      <c r="Q55" s="502"/>
    </row>
    <row r="56" spans="2:84" x14ac:dyDescent="0.25">
      <c r="D56" s="671"/>
      <c r="H56" s="502"/>
      <c r="I56" s="502"/>
      <c r="J56" s="502"/>
      <c r="K56" s="502"/>
      <c r="L56" s="502"/>
      <c r="M56" s="502"/>
      <c r="N56" s="824"/>
      <c r="O56" s="502"/>
      <c r="P56" s="502"/>
      <c r="Q56" s="502"/>
    </row>
    <row r="57" spans="2:84" x14ac:dyDescent="0.25">
      <c r="D57" s="671"/>
      <c r="H57" s="502"/>
      <c r="I57" s="502"/>
      <c r="J57" s="502"/>
      <c r="K57" s="502"/>
      <c r="L57" s="502"/>
      <c r="M57" s="502"/>
      <c r="N57" s="824"/>
      <c r="O57" s="502"/>
      <c r="P57" s="502"/>
      <c r="Q57" s="502"/>
    </row>
    <row r="58" spans="2:84" x14ac:dyDescent="0.25">
      <c r="H58" s="502"/>
      <c r="I58" s="502"/>
      <c r="J58" s="502"/>
      <c r="K58" s="502"/>
      <c r="L58" s="502"/>
      <c r="M58" s="502"/>
      <c r="N58" s="824"/>
      <c r="O58" s="502"/>
      <c r="P58" s="502"/>
      <c r="Q58" s="502"/>
    </row>
    <row r="59" spans="2:84" x14ac:dyDescent="0.25">
      <c r="D59" s="673"/>
      <c r="H59" s="502"/>
      <c r="I59" s="502"/>
      <c r="J59" s="502"/>
      <c r="K59" s="502"/>
      <c r="L59" s="502"/>
      <c r="M59" s="502"/>
      <c r="N59" s="824"/>
      <c r="O59" s="502"/>
      <c r="P59" s="502"/>
      <c r="Q59" s="502"/>
    </row>
    <row r="60" spans="2:84" x14ac:dyDescent="0.25">
      <c r="H60" s="502"/>
      <c r="I60" s="502"/>
      <c r="J60" s="502"/>
      <c r="K60" s="502"/>
      <c r="L60" s="502"/>
      <c r="M60" s="502"/>
      <c r="N60" s="824"/>
      <c r="O60" s="502"/>
      <c r="P60" s="502"/>
      <c r="Q60" s="502"/>
    </row>
    <row r="61" spans="2:84" x14ac:dyDescent="0.25">
      <c r="H61" s="502"/>
      <c r="I61" s="502"/>
      <c r="J61" s="502"/>
      <c r="K61" s="502"/>
      <c r="L61" s="502"/>
      <c r="M61" s="502"/>
      <c r="N61" s="824"/>
      <c r="O61" s="502"/>
      <c r="P61" s="502"/>
      <c r="Q61" s="502"/>
    </row>
    <row r="62" spans="2:84" x14ac:dyDescent="0.25">
      <c r="D62" s="674"/>
      <c r="H62" s="502"/>
      <c r="I62" s="502"/>
      <c r="J62" s="502"/>
      <c r="K62" s="502"/>
      <c r="L62" s="502"/>
      <c r="M62" s="502"/>
      <c r="N62" s="824"/>
      <c r="O62" s="502"/>
      <c r="P62" s="502"/>
      <c r="Q62" s="502"/>
    </row>
    <row r="63" spans="2:84" x14ac:dyDescent="0.25">
      <c r="H63" s="502"/>
      <c r="I63" s="502"/>
      <c r="J63" s="502"/>
      <c r="K63" s="502"/>
      <c r="L63" s="502"/>
      <c r="M63" s="502"/>
      <c r="N63" s="824"/>
      <c r="O63" s="502"/>
      <c r="P63" s="502"/>
      <c r="Q63" s="502"/>
    </row>
    <row r="64" spans="2:84" x14ac:dyDescent="0.25">
      <c r="H64" s="204"/>
      <c r="J64" s="204"/>
      <c r="K64" s="204"/>
      <c r="L64" s="204"/>
      <c r="O64" s="204"/>
      <c r="P64" s="204"/>
      <c r="Q64" s="204"/>
    </row>
    <row r="65" spans="17:17" x14ac:dyDescent="0.25">
      <c r="Q65" s="242"/>
    </row>
    <row r="66" spans="17:17" x14ac:dyDescent="0.25">
      <c r="Q66" s="204"/>
    </row>
    <row r="67" spans="17:17" x14ac:dyDescent="0.25">
      <c r="Q67" s="204"/>
    </row>
    <row r="68" spans="17:17" x14ac:dyDescent="0.25">
      <c r="Q68" s="242"/>
    </row>
    <row r="69" spans="17:17" x14ac:dyDescent="0.25">
      <c r="Q69" s="242"/>
    </row>
    <row r="70" spans="17:17" x14ac:dyDescent="0.25">
      <c r="Q70" s="204"/>
    </row>
    <row r="71" spans="17:17" x14ac:dyDescent="0.25">
      <c r="Q71" s="204"/>
    </row>
    <row r="72" spans="17:17" x14ac:dyDescent="0.25">
      <c r="Q72" s="204"/>
    </row>
    <row r="73" spans="17:17" x14ac:dyDescent="0.25">
      <c r="Q73" s="242"/>
    </row>
    <row r="74" spans="17:17" x14ac:dyDescent="0.25">
      <c r="Q74" s="204"/>
    </row>
    <row r="75" spans="17:17" x14ac:dyDescent="0.25">
      <c r="Q75" s="204"/>
    </row>
    <row r="76" spans="17:17" x14ac:dyDescent="0.25">
      <c r="Q76" s="204"/>
    </row>
  </sheetData>
  <mergeCells count="7">
    <mergeCell ref="A1:B1"/>
    <mergeCell ref="A2:E2"/>
    <mergeCell ref="B4:E4"/>
    <mergeCell ref="A5:A6"/>
    <mergeCell ref="B5:B6"/>
    <mergeCell ref="C5:E5"/>
    <mergeCell ref="A3:E3"/>
  </mergeCells>
  <phoneticPr fontId="70" type="noConversion"/>
  <pageMargins left="0.78740157480314965" right="0.59055118110236227" top="0.47244094488188981" bottom="0.47244094488188981" header="0.31496062992125984" footer="0.31496062992125984"/>
  <pageSetup paperSize="9" scale="92" firstPageNumber="121" orientation="portrait" useFirstPageNumber="1" r:id="rId1"/>
  <headerFooter>
    <oddHeader>&amp;RBiểu số 5. 31</oddHeader>
    <oddFooter>Page &amp;P</oddFooter>
  </headerFooter>
  <legacy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F67"/>
  <sheetViews>
    <sheetView zoomScale="80" zoomScaleNormal="80" workbookViewId="0">
      <pane xSplit="2" ySplit="9" topLeftCell="C49" activePane="bottomRight" state="frozen"/>
      <selection pane="topRight" activeCell="C1" sqref="C1"/>
      <selection pane="bottomLeft" activeCell="A10" sqref="A10"/>
      <selection pane="bottomRight" activeCell="AH75" sqref="AH75"/>
    </sheetView>
  </sheetViews>
  <sheetFormatPr defaultColWidth="9.140625" defaultRowHeight="11.25" x14ac:dyDescent="0.2"/>
  <cols>
    <col min="1" max="1" width="6.28515625" style="702" customWidth="1"/>
    <col min="2" max="2" width="32.28515625" style="692" customWidth="1"/>
    <col min="3" max="3" width="11.42578125" style="692" customWidth="1"/>
    <col min="4" max="4" width="8.28515625" style="692" customWidth="1"/>
    <col min="5" max="5" width="11" style="692" customWidth="1"/>
    <col min="6" max="6" width="10.5703125" style="692" customWidth="1"/>
    <col min="7" max="7" width="9.42578125" style="692" customWidth="1"/>
    <col min="8" max="8" width="11" style="692" customWidth="1"/>
    <col min="9" max="9" width="9.5703125" style="692" customWidth="1"/>
    <col min="10" max="10" width="8.140625" style="692" customWidth="1"/>
    <col min="11" max="11" width="10.42578125" style="692" customWidth="1"/>
    <col min="12" max="12" width="9" style="692" customWidth="1"/>
    <col min="13" max="13" width="8.28515625" style="692" customWidth="1"/>
    <col min="14" max="14" width="11.140625" style="692" customWidth="1"/>
    <col min="15" max="15" width="10" style="692" customWidth="1"/>
    <col min="16" max="16" width="10.7109375" style="692" customWidth="1"/>
    <col min="17" max="17" width="10" style="692" customWidth="1"/>
    <col min="18" max="18" width="10.7109375" style="692" customWidth="1"/>
    <col min="19" max="19" width="8.140625" style="692" customWidth="1"/>
    <col min="20" max="20" width="7.28515625" style="692" customWidth="1"/>
    <col min="21" max="21" width="10.140625" style="692" customWidth="1"/>
    <col min="22" max="22" width="8.28515625" style="692" customWidth="1"/>
    <col min="23" max="23" width="4.42578125" style="702" customWidth="1"/>
    <col min="24" max="24" width="12.85546875" style="692" hidden="1" customWidth="1"/>
    <col min="25" max="25" width="20.140625" style="692" hidden="1" customWidth="1"/>
    <col min="26" max="26" width="12.42578125" style="692" hidden="1" customWidth="1"/>
    <col min="27" max="27" width="9.140625" style="692" hidden="1" customWidth="1"/>
    <col min="28" max="28" width="14.5703125" style="692" hidden="1" customWidth="1"/>
    <col min="29" max="31" width="0" style="692" hidden="1" customWidth="1"/>
    <col min="32" max="16384" width="9.140625" style="692"/>
  </cols>
  <sheetData>
    <row r="1" spans="1:32" x14ac:dyDescent="0.2">
      <c r="A1" s="3447" t="s">
        <v>512</v>
      </c>
      <c r="B1" s="3447"/>
      <c r="C1" s="3447"/>
      <c r="D1" s="3447"/>
      <c r="E1" s="3447"/>
      <c r="U1" s="3448"/>
      <c r="V1" s="3448"/>
      <c r="W1" s="3448"/>
    </row>
    <row r="2" spans="1:32" ht="21" customHeight="1" x14ac:dyDescent="0.2">
      <c r="A2" s="3449" t="s">
        <v>740</v>
      </c>
      <c r="B2" s="3449"/>
      <c r="C2" s="3449"/>
      <c r="D2" s="3449"/>
      <c r="E2" s="3449"/>
      <c r="F2" s="3449"/>
      <c r="G2" s="3449"/>
      <c r="H2" s="3449"/>
      <c r="I2" s="3449"/>
      <c r="J2" s="3449"/>
      <c r="K2" s="3449"/>
      <c r="L2" s="3449"/>
      <c r="M2" s="3449"/>
      <c r="N2" s="3449"/>
      <c r="O2" s="3449"/>
      <c r="P2" s="3449"/>
      <c r="Q2" s="3449"/>
      <c r="R2" s="3449"/>
      <c r="S2" s="3449"/>
      <c r="T2" s="3449"/>
      <c r="U2" s="3449"/>
      <c r="V2" s="3449"/>
      <c r="W2" s="3449"/>
    </row>
    <row r="3" spans="1:32" ht="23.25" customHeight="1" x14ac:dyDescent="0.2">
      <c r="C3" s="262"/>
      <c r="D3" s="691"/>
      <c r="E3" s="691"/>
      <c r="O3" s="703"/>
      <c r="P3" s="704"/>
      <c r="Q3" s="691"/>
      <c r="R3" s="3450"/>
      <c r="S3" s="3450"/>
      <c r="T3" s="3450"/>
      <c r="U3" s="3450"/>
      <c r="V3" s="3450"/>
    </row>
    <row r="4" spans="1:32" ht="41.25" customHeight="1" x14ac:dyDescent="0.2">
      <c r="A4" s="3440" t="s">
        <v>0</v>
      </c>
      <c r="B4" s="3440" t="s">
        <v>399</v>
      </c>
      <c r="C4" s="3440" t="s">
        <v>724</v>
      </c>
      <c r="D4" s="3440"/>
      <c r="E4" s="3440"/>
      <c r="F4" s="3440" t="s">
        <v>590</v>
      </c>
      <c r="G4" s="3440"/>
      <c r="H4" s="3440"/>
      <c r="I4" s="3438" t="s">
        <v>838</v>
      </c>
      <c r="J4" s="3443"/>
      <c r="K4" s="3439"/>
      <c r="L4" s="705"/>
      <c r="M4" s="3438" t="s">
        <v>674</v>
      </c>
      <c r="N4" s="3439"/>
      <c r="O4" s="3440" t="s">
        <v>400</v>
      </c>
      <c r="P4" s="3440"/>
      <c r="Q4" s="3440"/>
      <c r="R4" s="3451" t="s">
        <v>559</v>
      </c>
      <c r="S4" s="3452"/>
      <c r="T4" s="3452"/>
      <c r="U4" s="3452"/>
      <c r="V4" s="3453"/>
      <c r="W4" s="3444" t="s">
        <v>55</v>
      </c>
      <c r="X4" s="786">
        <f>(C12+F12+I12)-L12</f>
        <v>18467.375788999998</v>
      </c>
    </row>
    <row r="5" spans="1:32" ht="21.75" customHeight="1" x14ac:dyDescent="0.2">
      <c r="A5" s="3440"/>
      <c r="B5" s="3440"/>
      <c r="C5" s="3440" t="s">
        <v>13</v>
      </c>
      <c r="D5" s="3440" t="s">
        <v>47</v>
      </c>
      <c r="E5" s="3440"/>
      <c r="F5" s="3440" t="s">
        <v>13</v>
      </c>
      <c r="G5" s="3440" t="s">
        <v>47</v>
      </c>
      <c r="H5" s="3440"/>
      <c r="I5" s="3440" t="s">
        <v>13</v>
      </c>
      <c r="J5" s="3440" t="s">
        <v>47</v>
      </c>
      <c r="K5" s="3440"/>
      <c r="L5" s="3441" t="s">
        <v>13</v>
      </c>
      <c r="M5" s="3440" t="s">
        <v>47</v>
      </c>
      <c r="N5" s="3440"/>
      <c r="O5" s="3440" t="s">
        <v>13</v>
      </c>
      <c r="P5" s="3440" t="s">
        <v>47</v>
      </c>
      <c r="Q5" s="3440"/>
      <c r="R5" s="3444" t="s">
        <v>13</v>
      </c>
      <c r="S5" s="3445" t="s">
        <v>475</v>
      </c>
      <c r="T5" s="3446"/>
      <c r="U5" s="3445" t="s">
        <v>476</v>
      </c>
      <c r="V5" s="3446"/>
      <c r="W5" s="3441"/>
      <c r="X5" s="706"/>
    </row>
    <row r="6" spans="1:32" ht="20.25" customHeight="1" x14ac:dyDescent="0.2">
      <c r="A6" s="3440"/>
      <c r="B6" s="3440"/>
      <c r="C6" s="3440"/>
      <c r="D6" s="3440" t="s">
        <v>475</v>
      </c>
      <c r="E6" s="3440" t="s">
        <v>476</v>
      </c>
      <c r="F6" s="3440"/>
      <c r="G6" s="3440" t="s">
        <v>475</v>
      </c>
      <c r="H6" s="3440" t="s">
        <v>476</v>
      </c>
      <c r="I6" s="3440"/>
      <c r="J6" s="3440" t="s">
        <v>475</v>
      </c>
      <c r="K6" s="3440" t="s">
        <v>476</v>
      </c>
      <c r="L6" s="3441"/>
      <c r="M6" s="3440" t="s">
        <v>475</v>
      </c>
      <c r="N6" s="3440" t="s">
        <v>476</v>
      </c>
      <c r="O6" s="3440"/>
      <c r="P6" s="3440" t="s">
        <v>475</v>
      </c>
      <c r="Q6" s="3440" t="s">
        <v>476</v>
      </c>
      <c r="R6" s="3441"/>
      <c r="S6" s="3444" t="s">
        <v>560</v>
      </c>
      <c r="T6" s="3444" t="s">
        <v>490</v>
      </c>
      <c r="U6" s="3444" t="s">
        <v>560</v>
      </c>
      <c r="V6" s="3444" t="s">
        <v>490</v>
      </c>
      <c r="W6" s="3441"/>
      <c r="Y6" s="772"/>
    </row>
    <row r="7" spans="1:32" ht="20.25" customHeight="1" x14ac:dyDescent="0.2">
      <c r="A7" s="3440"/>
      <c r="B7" s="3440"/>
      <c r="C7" s="3440"/>
      <c r="D7" s="3440"/>
      <c r="E7" s="3440"/>
      <c r="F7" s="3440"/>
      <c r="G7" s="3440"/>
      <c r="H7" s="3440"/>
      <c r="I7" s="3440"/>
      <c r="J7" s="3440"/>
      <c r="K7" s="3440"/>
      <c r="L7" s="3441"/>
      <c r="M7" s="3440"/>
      <c r="N7" s="3440"/>
      <c r="O7" s="3440"/>
      <c r="P7" s="3440"/>
      <c r="Q7" s="3440"/>
      <c r="R7" s="3441"/>
      <c r="S7" s="3441"/>
      <c r="T7" s="3441"/>
      <c r="U7" s="3441"/>
      <c r="V7" s="3441"/>
      <c r="W7" s="3441"/>
      <c r="X7" s="706"/>
      <c r="Y7" s="772">
        <v>686.44889499999999</v>
      </c>
    </row>
    <row r="8" spans="1:32" ht="22.5" customHeight="1" x14ac:dyDescent="0.2">
      <c r="A8" s="3440"/>
      <c r="B8" s="3440"/>
      <c r="C8" s="3440"/>
      <c r="D8" s="3440"/>
      <c r="E8" s="3440"/>
      <c r="F8" s="3440"/>
      <c r="G8" s="3440"/>
      <c r="H8" s="3440"/>
      <c r="I8" s="3440"/>
      <c r="J8" s="3440"/>
      <c r="K8" s="3440"/>
      <c r="L8" s="3442"/>
      <c r="M8" s="3440"/>
      <c r="N8" s="3440"/>
      <c r="O8" s="3440"/>
      <c r="P8" s="3440"/>
      <c r="Q8" s="3440"/>
      <c r="R8" s="3442"/>
      <c r="S8" s="3442"/>
      <c r="T8" s="3442"/>
      <c r="U8" s="3442"/>
      <c r="V8" s="3442"/>
      <c r="W8" s="3442"/>
      <c r="X8" s="704"/>
      <c r="Y8" s="771">
        <f>Y7-D13</f>
        <v>138.69953799999996</v>
      </c>
    </row>
    <row r="9" spans="1:32" ht="25.5" customHeight="1" x14ac:dyDescent="0.2">
      <c r="A9" s="209" t="s">
        <v>3</v>
      </c>
      <c r="B9" s="209" t="s">
        <v>4</v>
      </c>
      <c r="C9" s="209" t="s">
        <v>35</v>
      </c>
      <c r="D9" s="209">
        <v>2</v>
      </c>
      <c r="E9" s="209">
        <v>3</v>
      </c>
      <c r="F9" s="209" t="s">
        <v>562</v>
      </c>
      <c r="G9" s="209">
        <v>5</v>
      </c>
      <c r="H9" s="209">
        <v>6</v>
      </c>
      <c r="I9" s="707"/>
      <c r="J9" s="209"/>
      <c r="K9" s="209"/>
      <c r="L9" s="209"/>
      <c r="M9" s="209"/>
      <c r="N9" s="209"/>
      <c r="O9" s="209" t="s">
        <v>563</v>
      </c>
      <c r="P9" s="209">
        <v>8</v>
      </c>
      <c r="Q9" s="209">
        <v>9</v>
      </c>
      <c r="R9" s="333" t="s">
        <v>564</v>
      </c>
      <c r="S9" s="209">
        <v>11</v>
      </c>
      <c r="T9" s="209">
        <v>12</v>
      </c>
      <c r="U9" s="209">
        <v>13</v>
      </c>
      <c r="V9" s="209">
        <v>14</v>
      </c>
      <c r="W9" s="209">
        <v>15</v>
      </c>
      <c r="X9" s="708" t="s">
        <v>852</v>
      </c>
      <c r="Y9" s="691">
        <f>V10+T10</f>
        <v>2460.3565189999999</v>
      </c>
    </row>
    <row r="10" spans="1:32" ht="22.5" customHeight="1" x14ac:dyDescent="0.2">
      <c r="A10" s="209"/>
      <c r="B10" s="209" t="s">
        <v>849</v>
      </c>
      <c r="C10" s="1069">
        <f t="shared" ref="C10:E10" si="0">SUM(C11,C40,C27,C56)</f>
        <v>28915.267133999998</v>
      </c>
      <c r="D10" s="1069">
        <f t="shared" si="0"/>
        <v>606.09694000000002</v>
      </c>
      <c r="E10" s="1069">
        <f t="shared" si="0"/>
        <v>28309.170194000002</v>
      </c>
      <c r="F10" s="1069">
        <f t="shared" ref="F10:O10" si="1">SUM(F11,F40,F27,F56)</f>
        <v>57515</v>
      </c>
      <c r="G10" s="1069">
        <f t="shared" si="1"/>
        <v>2767</v>
      </c>
      <c r="H10" s="1069">
        <f t="shared" si="1"/>
        <v>54748</v>
      </c>
      <c r="I10" s="1069">
        <f t="shared" si="1"/>
        <v>34959.987377000005</v>
      </c>
      <c r="J10" s="1069">
        <f t="shared" si="1"/>
        <v>3800</v>
      </c>
      <c r="K10" s="1069">
        <f t="shared" si="1"/>
        <v>34959.987377000005</v>
      </c>
      <c r="L10" s="1069">
        <f t="shared" si="1"/>
        <v>25645.034845999999</v>
      </c>
      <c r="M10" s="1069">
        <f t="shared" si="1"/>
        <v>61.301462000000001</v>
      </c>
      <c r="N10" s="1069">
        <f>SUM(N11,N40,N27,N56)</f>
        <v>25583.733383999999</v>
      </c>
      <c r="O10" s="1069" t="e">
        <f t="shared" si="1"/>
        <v>#REF!</v>
      </c>
      <c r="P10" s="1069" t="e">
        <f>SUM(P11,P40,P27,P56)</f>
        <v>#REF!</v>
      </c>
      <c r="Q10" s="1069" t="e">
        <f t="shared" ref="Q10:V10" si="2">SUM(Q11,Q40,Q27,Q56)</f>
        <v>#REF!</v>
      </c>
      <c r="R10" s="1069" t="e">
        <f t="shared" si="2"/>
        <v>#REF!</v>
      </c>
      <c r="S10" s="1069" t="e">
        <f t="shared" si="2"/>
        <v>#REF!</v>
      </c>
      <c r="T10" s="1069">
        <f t="shared" si="2"/>
        <v>239.850942</v>
      </c>
      <c r="U10" s="1069" t="e">
        <f t="shared" si="2"/>
        <v>#REF!</v>
      </c>
      <c r="V10" s="1069">
        <f t="shared" si="2"/>
        <v>2220.5055769999999</v>
      </c>
      <c r="W10" s="1069">
        <f t="shared" ref="W10" si="3">SUM(W11,W40,W27)</f>
        <v>0</v>
      </c>
      <c r="X10" s="692">
        <f>'5.31'!C8</f>
        <v>2460.3565189999999</v>
      </c>
      <c r="Y10" s="703">
        <f>X10-(V10+T10)</f>
        <v>0</v>
      </c>
      <c r="AF10" s="1089" t="e">
        <f>U12+S12</f>
        <v>#REF!</v>
      </c>
    </row>
    <row r="11" spans="1:32" ht="21" customHeight="1" x14ac:dyDescent="0.2">
      <c r="A11" s="695"/>
      <c r="B11" s="695" t="s">
        <v>850</v>
      </c>
      <c r="C11" s="1070">
        <f>SUM(C12,C16)</f>
        <v>19135.398333999998</v>
      </c>
      <c r="D11" s="1070">
        <f>SUM(D12,D16)</f>
        <v>606.09694000000002</v>
      </c>
      <c r="E11" s="1070">
        <f t="shared" ref="E11" si="4">SUM(E12,E16)</f>
        <v>18529.301394000002</v>
      </c>
      <c r="F11" s="1070">
        <f>SUM(F12,F16)</f>
        <v>38115</v>
      </c>
      <c r="G11" s="1070">
        <f t="shared" ref="G11" si="5">SUM(G12,G16)</f>
        <v>2767</v>
      </c>
      <c r="H11" s="1070">
        <f>SUM(H12,H16)</f>
        <v>35348</v>
      </c>
      <c r="I11" s="1070">
        <f t="shared" ref="I11:J11" si="6">SUM(I12,I16)</f>
        <v>309.33600000000001</v>
      </c>
      <c r="J11" s="1070">
        <f t="shared" si="6"/>
        <v>0</v>
      </c>
      <c r="K11" s="1071">
        <f>SUM(K12,K16)</f>
        <v>309.33600000000001</v>
      </c>
      <c r="L11" s="1070">
        <f t="shared" ref="L11:M11" si="7">SUM(L12,L16)</f>
        <v>15269.831462</v>
      </c>
      <c r="M11" s="1070">
        <f t="shared" si="7"/>
        <v>61.301462000000001</v>
      </c>
      <c r="N11" s="1070">
        <f>SUM(N12,N16)</f>
        <v>15208.53</v>
      </c>
      <c r="O11" s="1070" t="e">
        <f>SUM(O12,O16)</f>
        <v>#REF!</v>
      </c>
      <c r="P11" s="1070" t="e">
        <f>SUM(P12,P16)</f>
        <v>#REF!</v>
      </c>
      <c r="Q11" s="1070" t="e">
        <f t="shared" ref="Q11:W11" si="8">SUM(Q12,Q16)</f>
        <v>#REF!</v>
      </c>
      <c r="R11" s="1070" t="e">
        <f t="shared" si="8"/>
        <v>#REF!</v>
      </c>
      <c r="S11" s="1070" t="e">
        <f>SUM(S12,S16)</f>
        <v>#REF!</v>
      </c>
      <c r="T11" s="1070">
        <f>SUM(T12,T16)</f>
        <v>222.82794200000001</v>
      </c>
      <c r="U11" s="1070" t="e">
        <f t="shared" si="8"/>
        <v>#REF!</v>
      </c>
      <c r="V11" s="1070">
        <f t="shared" si="8"/>
        <v>375.27387999999996</v>
      </c>
      <c r="W11" s="1070">
        <f t="shared" si="8"/>
        <v>0</v>
      </c>
      <c r="Y11" s="709"/>
    </row>
    <row r="12" spans="1:32" s="698" customFormat="1" ht="26.25" customHeight="1" x14ac:dyDescent="0.2">
      <c r="A12" s="695" t="s">
        <v>5</v>
      </c>
      <c r="B12" s="696" t="s">
        <v>677</v>
      </c>
      <c r="C12" s="1070">
        <f>SUM(C13:C15)</f>
        <v>13857.298251</v>
      </c>
      <c r="D12" s="1070">
        <f>SUM(D13:D15)</f>
        <v>562.38335700000005</v>
      </c>
      <c r="E12" s="1070">
        <f t="shared" ref="E12:W12" si="9">SUM(E13:E15)</f>
        <v>13294.914894000001</v>
      </c>
      <c r="F12" s="1070">
        <f>SUM(F13:F15)</f>
        <v>17034</v>
      </c>
      <c r="G12" s="1070">
        <f>SUM(G13:G15)</f>
        <v>2067</v>
      </c>
      <c r="H12" s="1070">
        <f>SUM(H13:H15)</f>
        <v>14967</v>
      </c>
      <c r="I12" s="1070">
        <f t="shared" ref="I12:K12" si="10">SUM(I13:I15)</f>
        <v>309.33600000000001</v>
      </c>
      <c r="J12" s="1070">
        <f t="shared" si="10"/>
        <v>0</v>
      </c>
      <c r="K12" s="1071">
        <f t="shared" si="10"/>
        <v>309.33600000000001</v>
      </c>
      <c r="L12" s="1070">
        <f>SUM(L13:L15)</f>
        <v>12733.258462</v>
      </c>
      <c r="M12" s="1070">
        <f>SUM(M13:M15)</f>
        <v>61.301462000000001</v>
      </c>
      <c r="N12" s="1070">
        <f>SUM(N13:N15)</f>
        <v>12671.957</v>
      </c>
      <c r="O12" s="1070" t="e">
        <f>SUM(O13:O15)</f>
        <v>#REF!</v>
      </c>
      <c r="P12" s="1070" t="e">
        <f>SUM(P13:P15)</f>
        <v>#REF!</v>
      </c>
      <c r="Q12" s="1070" t="e">
        <f t="shared" si="9"/>
        <v>#REF!</v>
      </c>
      <c r="R12" s="1070" t="e">
        <f>SUM(R13:R15)</f>
        <v>#REF!</v>
      </c>
      <c r="S12" s="1070" t="e">
        <f>SUM(S13:S15)</f>
        <v>#REF!</v>
      </c>
      <c r="T12" s="1070">
        <f t="shared" si="9"/>
        <v>14.634</v>
      </c>
      <c r="U12" s="1070" t="e">
        <f>SUM(U13:U15)</f>
        <v>#REF!</v>
      </c>
      <c r="V12" s="1070">
        <f t="shared" si="9"/>
        <v>102.355782</v>
      </c>
      <c r="W12" s="1070">
        <f t="shared" si="9"/>
        <v>0</v>
      </c>
      <c r="X12" s="690" t="e">
        <f>O12/X4</f>
        <v>#REF!</v>
      </c>
      <c r="Y12" s="697"/>
    </row>
    <row r="13" spans="1:32" ht="33.6" customHeight="1" x14ac:dyDescent="0.2">
      <c r="A13" s="693" t="s">
        <v>43</v>
      </c>
      <c r="B13" s="699" t="s">
        <v>678</v>
      </c>
      <c r="C13" s="1072">
        <f>D13+E13</f>
        <v>1599.6197069999998</v>
      </c>
      <c r="D13" s="1072">
        <v>547.74935700000003</v>
      </c>
      <c r="E13" s="1072">
        <v>1051.8703499999999</v>
      </c>
      <c r="F13" s="1072">
        <f>SUM(G13:H13)</f>
        <v>5600</v>
      </c>
      <c r="G13" s="1072">
        <f>81+1617</f>
        <v>1698</v>
      </c>
      <c r="H13" s="1072">
        <f>186+3716</f>
        <v>3902</v>
      </c>
      <c r="I13" s="1072">
        <f>SUM(J13:K13)</f>
        <v>180</v>
      </c>
      <c r="J13" s="1072"/>
      <c r="K13" s="1073">
        <v>180</v>
      </c>
      <c r="L13" s="1152">
        <f>SUM(M13:N13)</f>
        <v>61.301462000000001</v>
      </c>
      <c r="M13" s="1152">
        <f>51.301462+10</f>
        <v>61.301462000000001</v>
      </c>
      <c r="N13" s="1072"/>
      <c r="O13" s="1072" t="e">
        <f>SUM(P13:Q13)</f>
        <v>#REF!</v>
      </c>
      <c r="P13" s="1072" t="e">
        <f>'61_NĐ31'!#REF!</f>
        <v>#REF!</v>
      </c>
      <c r="Q13" s="1072" t="e">
        <f>'61_NĐ31'!#REF!</f>
        <v>#REF!</v>
      </c>
      <c r="R13" s="1072" t="e">
        <f>S13+T13+U13+V13</f>
        <v>#REF!</v>
      </c>
      <c r="S13" s="1072" t="e">
        <f>(D13+G13+J13)-(M13+P13+T13)</f>
        <v>#REF!</v>
      </c>
      <c r="T13" s="1072"/>
      <c r="U13" s="1072" t="e">
        <f>(E13+H13+K13)-(N13+Q13+V13)</f>
        <v>#REF!</v>
      </c>
      <c r="V13" s="1072">
        <v>47.320900000000002</v>
      </c>
      <c r="W13" s="1072"/>
      <c r="X13" s="786">
        <f>C13+F13+I13-L13</f>
        <v>7318.3182449999995</v>
      </c>
      <c r="Y13" s="777" t="e">
        <f>O13/X13</f>
        <v>#REF!</v>
      </c>
      <c r="AB13" s="1089">
        <f>'[9]SN DTTS'!$X$9</f>
        <v>-9013059000</v>
      </c>
    </row>
    <row r="14" spans="1:32" ht="31.15" customHeight="1" x14ac:dyDescent="0.2">
      <c r="A14" s="693" t="s">
        <v>44</v>
      </c>
      <c r="B14" s="700" t="s">
        <v>679</v>
      </c>
      <c r="C14" s="1072">
        <f>D14+E14</f>
        <v>5788.0602870000002</v>
      </c>
      <c r="D14" s="1072"/>
      <c r="E14" s="1072">
        <v>5788.0602870000002</v>
      </c>
      <c r="F14" s="1072">
        <f>SUM(G14:H14)</f>
        <v>6187</v>
      </c>
      <c r="G14" s="1072"/>
      <c r="H14" s="1072">
        <f>180+6007</f>
        <v>6187</v>
      </c>
      <c r="I14" s="1072">
        <f t="shared" ref="I14:I15" si="11">SUM(J14:K14)</f>
        <v>94.6</v>
      </c>
      <c r="J14" s="1072"/>
      <c r="K14" s="1073">
        <v>94.6</v>
      </c>
      <c r="L14" s="1072">
        <f t="shared" ref="L14" si="12">SUM(M14:N14)</f>
        <v>3530.9749999999999</v>
      </c>
      <c r="M14" s="1072"/>
      <c r="N14" s="1072">
        <f>1293.4+2237.575</f>
        <v>3530.9749999999999</v>
      </c>
      <c r="O14" s="1072" t="e">
        <f>SUM(P14:Q14)</f>
        <v>#REF!</v>
      </c>
      <c r="P14" s="1072"/>
      <c r="Q14" s="1072" t="e">
        <f>'61_NĐ31'!#REF!</f>
        <v>#REF!</v>
      </c>
      <c r="R14" s="1072" t="e">
        <f>S14+T14+U14+V14</f>
        <v>#REF!</v>
      </c>
      <c r="S14" s="1072">
        <f t="shared" ref="S14" si="13">(D14+G14+J14)-(M14+P14+T14)</f>
        <v>0</v>
      </c>
      <c r="T14" s="1072"/>
      <c r="U14" s="1072" t="e">
        <f>(E14+H14+K14)-(N14+Q14+V14)</f>
        <v>#REF!</v>
      </c>
      <c r="V14" s="1072">
        <v>6.0141879999999999</v>
      </c>
      <c r="W14" s="1072"/>
      <c r="X14" s="786">
        <f>C14+F14+I14-L14</f>
        <v>8538.6852870000002</v>
      </c>
      <c r="Y14" s="777" t="e">
        <f>O14/X14</f>
        <v>#REF!</v>
      </c>
      <c r="AF14" s="1089"/>
    </row>
    <row r="15" spans="1:32" ht="33.75" customHeight="1" x14ac:dyDescent="0.2">
      <c r="A15" s="693" t="s">
        <v>51</v>
      </c>
      <c r="B15" s="700" t="s">
        <v>680</v>
      </c>
      <c r="C15" s="1072">
        <f>D15+E15</f>
        <v>6469.6182570000001</v>
      </c>
      <c r="D15" s="1072">
        <v>14.634000000000015</v>
      </c>
      <c r="E15" s="1072">
        <v>6454.9842570000001</v>
      </c>
      <c r="F15" s="1072">
        <f>SUM(G15:H15)</f>
        <v>5247</v>
      </c>
      <c r="G15" s="1072">
        <f>20+349</f>
        <v>369</v>
      </c>
      <c r="H15" s="1072">
        <f>341+4537</f>
        <v>4878</v>
      </c>
      <c r="I15" s="1072">
        <f t="shared" si="11"/>
        <v>34.735999999999997</v>
      </c>
      <c r="J15" s="1072"/>
      <c r="K15" s="1073">
        <v>34.735999999999997</v>
      </c>
      <c r="L15" s="1072">
        <f>SUM(M15:N15)</f>
        <v>9140.982</v>
      </c>
      <c r="M15" s="1072"/>
      <c r="N15" s="1090">
        <f>2694+6446.982</f>
        <v>9140.982</v>
      </c>
      <c r="O15" s="1072" t="e">
        <f>SUM(P15:Q15)</f>
        <v>#REF!</v>
      </c>
      <c r="P15" s="1072" t="e">
        <f>'61_NĐ31'!#REF!</f>
        <v>#REF!</v>
      </c>
      <c r="Q15" s="1072" t="e">
        <f>'61_NĐ31'!#REF!</f>
        <v>#REF!</v>
      </c>
      <c r="R15" s="1072" t="e">
        <f>S15+T15+U15+V15</f>
        <v>#REF!</v>
      </c>
      <c r="S15" s="1072" t="e">
        <f>(D15+G15+J15)-(M15+P15+T15)</f>
        <v>#REF!</v>
      </c>
      <c r="T15" s="1072">
        <f>'5.31'!E11</f>
        <v>14.634</v>
      </c>
      <c r="U15" s="1072" t="e">
        <f>(E15+H15+K15)-(N15+Q15+V15)</f>
        <v>#REF!</v>
      </c>
      <c r="V15" s="1072">
        <f>'5.31'!E20</f>
        <v>49.020693999999999</v>
      </c>
      <c r="W15" s="1072"/>
      <c r="X15" s="786">
        <f t="shared" ref="X15" si="14">C15+F15+I15-L15</f>
        <v>2610.3722570000009</v>
      </c>
      <c r="Y15" s="777" t="e">
        <f t="shared" ref="Y15" si="15">O15/X15</f>
        <v>#REF!</v>
      </c>
      <c r="AF15" s="1089">
        <f>D10+L13</f>
        <v>667.39840200000003</v>
      </c>
    </row>
    <row r="16" spans="1:32" ht="29.25" customHeight="1" x14ac:dyDescent="0.2">
      <c r="A16" s="695" t="s">
        <v>11</v>
      </c>
      <c r="B16" s="696" t="s">
        <v>561</v>
      </c>
      <c r="C16" s="1070">
        <f>SUM(C17:C26)</f>
        <v>5278.1000829999994</v>
      </c>
      <c r="D16" s="1070">
        <f t="shared" ref="D16:E16" si="16">SUM(D17:D26)</f>
        <v>43.713583</v>
      </c>
      <c r="E16" s="1070">
        <f t="shared" si="16"/>
        <v>5234.3864999999996</v>
      </c>
      <c r="F16" s="1070">
        <f t="shared" ref="F16:G16" si="17">SUM(F17:F26)</f>
        <v>21081</v>
      </c>
      <c r="G16" s="1070">
        <f t="shared" si="17"/>
        <v>700</v>
      </c>
      <c r="H16" s="1070">
        <f>SUM(H17:H26)</f>
        <v>20381</v>
      </c>
      <c r="I16" s="1070">
        <f t="shared" ref="I16:M16" si="18">SUM(I17:I26)</f>
        <v>0</v>
      </c>
      <c r="J16" s="1070">
        <f t="shared" si="18"/>
        <v>0</v>
      </c>
      <c r="K16" s="1070">
        <f t="shared" si="18"/>
        <v>0</v>
      </c>
      <c r="L16" s="1070">
        <f>SUM(L17:L26)</f>
        <v>2536.5729999999999</v>
      </c>
      <c r="M16" s="1070">
        <f t="shared" si="18"/>
        <v>0</v>
      </c>
      <c r="N16" s="1070">
        <f>SUM(N17:N26)</f>
        <v>2536.5729999999999</v>
      </c>
      <c r="O16" s="1070" t="e">
        <f>SUM(O17:O26)</f>
        <v>#REF!</v>
      </c>
      <c r="P16" s="1070" t="e">
        <f t="shared" ref="P16" si="19">SUM(P17:P26)</f>
        <v>#REF!</v>
      </c>
      <c r="Q16" s="1070" t="e">
        <f>SUM(Q17:Q26)</f>
        <v>#REF!</v>
      </c>
      <c r="R16" s="1070" t="e">
        <f>SUM(R17:R26)</f>
        <v>#REF!</v>
      </c>
      <c r="S16" s="1070" t="e">
        <f>SUM(S17:S26)</f>
        <v>#REF!</v>
      </c>
      <c r="T16" s="1070">
        <f t="shared" ref="T16" si="20">SUM(T17:T26)</f>
        <v>208.19394199999999</v>
      </c>
      <c r="U16" s="1070" t="e">
        <f>SUM(U17:U26)</f>
        <v>#REF!</v>
      </c>
      <c r="V16" s="1070">
        <f t="shared" ref="V16" si="21">SUM(V17:V26)</f>
        <v>272.91809799999999</v>
      </c>
      <c r="W16" s="1070">
        <f t="shared" ref="W16" si="22">SUM(W19:W53)</f>
        <v>0</v>
      </c>
      <c r="X16" s="690"/>
      <c r="Y16" s="697"/>
    </row>
    <row r="17" spans="1:26" ht="29.25" customHeight="1" x14ac:dyDescent="0.2">
      <c r="A17" s="693"/>
      <c r="B17" s="701" t="s">
        <v>829</v>
      </c>
      <c r="C17" s="1072">
        <f>D17+E17</f>
        <v>0</v>
      </c>
      <c r="D17" s="1072"/>
      <c r="E17" s="1072"/>
      <c r="F17" s="1072">
        <f>SUM(G17:H17)</f>
        <v>200</v>
      </c>
      <c r="G17" s="1072">
        <v>200</v>
      </c>
      <c r="H17" s="1072"/>
      <c r="I17" s="1072"/>
      <c r="J17" s="1072"/>
      <c r="K17" s="1072"/>
      <c r="L17" s="1072">
        <f>SUM(M17:N17)</f>
        <v>0</v>
      </c>
      <c r="M17" s="1072"/>
      <c r="N17" s="1072"/>
      <c r="O17" s="1072">
        <f>SUM(P17:Q17)</f>
        <v>0</v>
      </c>
      <c r="P17" s="1072"/>
      <c r="Q17" s="1072">
        <f t="shared" ref="Q17:Q26" si="23">H17+E17+K17-N17-V17</f>
        <v>0</v>
      </c>
      <c r="R17" s="1072">
        <f>S17+T17+U17+V17</f>
        <v>200</v>
      </c>
      <c r="S17" s="1072"/>
      <c r="T17" s="1072">
        <f>'5.31'!E13</f>
        <v>200</v>
      </c>
      <c r="U17" s="1072"/>
      <c r="V17" s="1072"/>
      <c r="W17" s="1072"/>
      <c r="X17" s="690" t="e">
        <f>G13-M13-P13-S13</f>
        <v>#REF!</v>
      </c>
      <c r="Y17" s="697"/>
    </row>
    <row r="18" spans="1:26" ht="29.25" customHeight="1" x14ac:dyDescent="0.2">
      <c r="A18" s="693"/>
      <c r="B18" s="701" t="s">
        <v>830</v>
      </c>
      <c r="C18" s="1072">
        <f t="shared" ref="C18:C54" si="24">D18+E18</f>
        <v>43.713583</v>
      </c>
      <c r="D18" s="1072">
        <v>43.713583</v>
      </c>
      <c r="E18" s="1072"/>
      <c r="F18" s="1072">
        <f>SUM(G18:H18)</f>
        <v>500</v>
      </c>
      <c r="G18" s="1072">
        <v>500</v>
      </c>
      <c r="H18" s="1072"/>
      <c r="I18" s="1072"/>
      <c r="J18" s="1072"/>
      <c r="K18" s="1072"/>
      <c r="L18" s="1072">
        <f t="shared" ref="L18:L38" si="25">SUM(M18:N18)</f>
        <v>0</v>
      </c>
      <c r="M18" s="1072"/>
      <c r="N18" s="1072"/>
      <c r="O18" s="1072" t="e">
        <f t="shared" ref="O18:O19" si="26">SUM(P18:Q18)</f>
        <v>#REF!</v>
      </c>
      <c r="P18" s="1072" t="e">
        <f>'62_NĐ31'!#REF!+'5.14.2'!M32</f>
        <v>#REF!</v>
      </c>
      <c r="Q18" s="1072">
        <f t="shared" si="23"/>
        <v>0</v>
      </c>
      <c r="R18" s="1072" t="e">
        <f>S18+T18+U18+V18</f>
        <v>#REF!</v>
      </c>
      <c r="S18" s="1072" t="e">
        <f>(D18+G18+J18)-(M18+P18+T18)</f>
        <v>#REF!</v>
      </c>
      <c r="T18" s="1072">
        <f>'5.31'!E14</f>
        <v>8.1939419999999998</v>
      </c>
      <c r="U18" s="1072"/>
      <c r="V18" s="1072"/>
      <c r="W18" s="1072"/>
      <c r="X18" s="690"/>
      <c r="Y18" s="697"/>
    </row>
    <row r="19" spans="1:26" ht="32.25" customHeight="1" x14ac:dyDescent="0.2">
      <c r="A19" s="694"/>
      <c r="B19" s="701" t="s">
        <v>603</v>
      </c>
      <c r="C19" s="1072">
        <f t="shared" si="24"/>
        <v>203.9255</v>
      </c>
      <c r="D19" s="1072"/>
      <c r="E19" s="1072">
        <v>203.9255</v>
      </c>
      <c r="F19" s="1072">
        <f>SUM(G19:H19)</f>
        <v>716</v>
      </c>
      <c r="G19" s="1072"/>
      <c r="H19" s="1072">
        <v>716</v>
      </c>
      <c r="I19" s="1072"/>
      <c r="J19" s="1072"/>
      <c r="K19" s="1072"/>
      <c r="L19" s="1072">
        <f t="shared" si="25"/>
        <v>235.601</v>
      </c>
      <c r="M19" s="1072"/>
      <c r="N19" s="1072">
        <f>31.675+203.926</f>
        <v>235.601</v>
      </c>
      <c r="O19" s="1072">
        <f t="shared" si="26"/>
        <v>484.77040200000005</v>
      </c>
      <c r="P19" s="1072"/>
      <c r="Q19" s="1072">
        <f t="shared" si="23"/>
        <v>484.77040200000005</v>
      </c>
      <c r="R19" s="1072">
        <f>S19+T19+U19+V19</f>
        <v>199.55409800000001</v>
      </c>
      <c r="S19" s="1072"/>
      <c r="T19" s="1072"/>
      <c r="U19" s="1072"/>
      <c r="V19" s="1072">
        <f>'5.31'!E21</f>
        <v>199.55409800000001</v>
      </c>
      <c r="W19" s="1072"/>
      <c r="X19" s="690"/>
      <c r="Y19" s="697"/>
    </row>
    <row r="20" spans="1:26" ht="39" customHeight="1" x14ac:dyDescent="0.2">
      <c r="A20" s="694"/>
      <c r="B20" s="699" t="s">
        <v>644</v>
      </c>
      <c r="C20" s="1072">
        <f t="shared" si="24"/>
        <v>0</v>
      </c>
      <c r="D20" s="1072"/>
      <c r="E20" s="1072"/>
      <c r="F20" s="1072">
        <f t="shared" ref="F20:F35" si="27">SUM(G20:H20)</f>
        <v>140</v>
      </c>
      <c r="G20" s="1072"/>
      <c r="H20" s="1072">
        <v>140</v>
      </c>
      <c r="I20" s="1072"/>
      <c r="J20" s="1072"/>
      <c r="K20" s="1072"/>
      <c r="L20" s="1072">
        <f t="shared" si="25"/>
        <v>0</v>
      </c>
      <c r="M20" s="1072"/>
      <c r="N20" s="1072"/>
      <c r="O20" s="1072">
        <f>SUM(P20:Q20)</f>
        <v>140</v>
      </c>
      <c r="P20" s="1072"/>
      <c r="Q20" s="1072">
        <f t="shared" si="23"/>
        <v>140</v>
      </c>
      <c r="R20" s="1072">
        <f>SUM(S20:V20)</f>
        <v>0</v>
      </c>
      <c r="S20" s="1072"/>
      <c r="T20" s="1072"/>
      <c r="U20" s="1072"/>
      <c r="V20" s="1072"/>
      <c r="W20" s="1072"/>
      <c r="X20" s="690"/>
      <c r="Y20" s="697"/>
    </row>
    <row r="21" spans="1:26" ht="22.5" x14ac:dyDescent="0.2">
      <c r="A21" s="694"/>
      <c r="B21" s="710" t="s">
        <v>645</v>
      </c>
      <c r="C21" s="1072">
        <f t="shared" si="24"/>
        <v>23.672000000000001</v>
      </c>
      <c r="D21" s="1072"/>
      <c r="E21" s="1072">
        <v>23.672000000000001</v>
      </c>
      <c r="F21" s="1072">
        <f t="shared" si="27"/>
        <v>500</v>
      </c>
      <c r="G21" s="1072"/>
      <c r="H21" s="1072">
        <v>500</v>
      </c>
      <c r="I21" s="1072"/>
      <c r="J21" s="1072"/>
      <c r="K21" s="1072"/>
      <c r="L21" s="1072">
        <f t="shared" si="25"/>
        <v>23.672000000000001</v>
      </c>
      <c r="M21" s="1072"/>
      <c r="N21" s="1072">
        <v>23.672000000000001</v>
      </c>
      <c r="O21" s="1072">
        <f>SUM(P21:Q21)</f>
        <v>500</v>
      </c>
      <c r="P21" s="1072"/>
      <c r="Q21" s="1072">
        <f t="shared" si="23"/>
        <v>500</v>
      </c>
      <c r="R21" s="1072">
        <f>SUM(S21:V21)</f>
        <v>0</v>
      </c>
      <c r="S21" s="1072"/>
      <c r="T21" s="1072"/>
      <c r="U21" s="1072"/>
      <c r="V21" s="1072"/>
      <c r="W21" s="1072"/>
      <c r="X21" s="690"/>
      <c r="Y21" s="697"/>
      <c r="Z21" s="691"/>
    </row>
    <row r="22" spans="1:26" ht="45" x14ac:dyDescent="0.2">
      <c r="A22" s="694"/>
      <c r="B22" s="711" t="s">
        <v>831</v>
      </c>
      <c r="C22" s="1072">
        <f t="shared" si="24"/>
        <v>0</v>
      </c>
      <c r="D22" s="1072"/>
      <c r="E22" s="1072"/>
      <c r="F22" s="1072">
        <f t="shared" si="27"/>
        <v>1128</v>
      </c>
      <c r="G22" s="1072"/>
      <c r="H22" s="1072">
        <v>1128</v>
      </c>
      <c r="I22" s="1072"/>
      <c r="J22" s="1072"/>
      <c r="K22" s="1072"/>
      <c r="L22" s="1072">
        <f t="shared" si="25"/>
        <v>580.81000000000006</v>
      </c>
      <c r="M22" s="1072"/>
      <c r="N22" s="1072">
        <f>489.6+91.21</f>
        <v>580.81000000000006</v>
      </c>
      <c r="O22" s="1072">
        <f t="shared" ref="O22:O25" si="28">SUM(P22:Q22)</f>
        <v>547.18999999999994</v>
      </c>
      <c r="P22" s="1072"/>
      <c r="Q22" s="1072">
        <f t="shared" si="23"/>
        <v>547.18999999999994</v>
      </c>
      <c r="R22" s="1072">
        <f t="shared" ref="R22:R26" si="29">SUM(S22:V22)</f>
        <v>0</v>
      </c>
      <c r="S22" s="1072"/>
      <c r="T22" s="1072"/>
      <c r="U22" s="1072"/>
      <c r="V22" s="1072"/>
      <c r="W22" s="1072"/>
      <c r="X22" s="690"/>
      <c r="Y22" s="697"/>
      <c r="Z22" s="691"/>
    </row>
    <row r="23" spans="1:26" ht="27.75" customHeight="1" x14ac:dyDescent="0.2">
      <c r="A23" s="694"/>
      <c r="B23" s="699" t="s">
        <v>833</v>
      </c>
      <c r="C23" s="1072">
        <f t="shared" si="24"/>
        <v>0</v>
      </c>
      <c r="D23" s="1072"/>
      <c r="E23" s="1072"/>
      <c r="F23" s="1074">
        <f>H23</f>
        <v>181</v>
      </c>
      <c r="G23" s="1072"/>
      <c r="H23" s="398">
        <v>181</v>
      </c>
      <c r="I23" s="398"/>
      <c r="J23" s="398"/>
      <c r="K23" s="398"/>
      <c r="L23" s="1072">
        <f t="shared" si="25"/>
        <v>15.6</v>
      </c>
      <c r="M23" s="398"/>
      <c r="N23" s="1074">
        <f>15.6</f>
        <v>15.6</v>
      </c>
      <c r="O23" s="1072">
        <f t="shared" si="28"/>
        <v>165.4</v>
      </c>
      <c r="P23" s="1072"/>
      <c r="Q23" s="1072">
        <f t="shared" si="23"/>
        <v>165.4</v>
      </c>
      <c r="R23" s="1072">
        <f t="shared" si="29"/>
        <v>0</v>
      </c>
      <c r="S23" s="1072"/>
      <c r="T23" s="1072"/>
      <c r="U23" s="1072"/>
      <c r="V23" s="1072"/>
      <c r="W23" s="1072"/>
      <c r="X23" s="690">
        <f t="shared" ref="X23:X49" si="30">(C23+F23+I23)-(L23+O23)</f>
        <v>0</v>
      </c>
      <c r="Y23" s="697">
        <f t="shared" ref="Y23:Y49" si="31">X23-R23</f>
        <v>0</v>
      </c>
    </row>
    <row r="24" spans="1:26" ht="22.5" x14ac:dyDescent="0.2">
      <c r="A24" s="694"/>
      <c r="B24" s="699" t="s">
        <v>832</v>
      </c>
      <c r="C24" s="1072">
        <f t="shared" si="24"/>
        <v>0</v>
      </c>
      <c r="D24" s="1072"/>
      <c r="E24" s="1072"/>
      <c r="F24" s="1074">
        <f t="shared" ref="F24:F26" si="32">H24</f>
        <v>175</v>
      </c>
      <c r="G24" s="1072"/>
      <c r="H24" s="1072">
        <v>175</v>
      </c>
      <c r="I24" s="1072"/>
      <c r="J24" s="1072"/>
      <c r="K24" s="1072"/>
      <c r="L24" s="1072">
        <f t="shared" si="25"/>
        <v>175</v>
      </c>
      <c r="M24" s="1072"/>
      <c r="N24" s="1072">
        <f>175</f>
        <v>175</v>
      </c>
      <c r="O24" s="1072">
        <f t="shared" si="28"/>
        <v>0</v>
      </c>
      <c r="P24" s="1072"/>
      <c r="Q24" s="1072">
        <f>H24+E24+K24-N24-V24</f>
        <v>0</v>
      </c>
      <c r="R24" s="1072">
        <f t="shared" si="29"/>
        <v>0</v>
      </c>
      <c r="S24" s="1072"/>
      <c r="T24" s="1072"/>
      <c r="U24" s="1072"/>
      <c r="V24" s="1072"/>
      <c r="W24" s="1072"/>
      <c r="X24" s="690"/>
      <c r="Y24" s="697"/>
      <c r="Z24" s="691"/>
    </row>
    <row r="25" spans="1:26" ht="18.75" customHeight="1" x14ac:dyDescent="0.2">
      <c r="A25" s="694"/>
      <c r="B25" s="711" t="s">
        <v>834</v>
      </c>
      <c r="C25" s="1072">
        <f t="shared" si="24"/>
        <v>5006.7889999999998</v>
      </c>
      <c r="D25" s="1072"/>
      <c r="E25" s="1072">
        <v>5006.7889999999998</v>
      </c>
      <c r="F25" s="1074">
        <f t="shared" si="32"/>
        <v>14541</v>
      </c>
      <c r="G25" s="1072"/>
      <c r="H25" s="1072">
        <v>14541</v>
      </c>
      <c r="I25" s="1072"/>
      <c r="J25" s="1072"/>
      <c r="K25" s="1072"/>
      <c r="L25" s="1072">
        <f t="shared" si="25"/>
        <v>1505.8899999999999</v>
      </c>
      <c r="M25" s="1072"/>
      <c r="N25" s="1072">
        <f>51.84+727.05+727</f>
        <v>1505.8899999999999</v>
      </c>
      <c r="O25" s="1072" t="e">
        <f t="shared" si="28"/>
        <v>#REF!</v>
      </c>
      <c r="P25" s="1072"/>
      <c r="Q25" s="1072" t="e">
        <f>(H25+E25+K25)-(N25+V25+U25)</f>
        <v>#REF!</v>
      </c>
      <c r="R25" s="1072" t="e">
        <f>SUM(S25:V25)</f>
        <v>#REF!</v>
      </c>
      <c r="S25" s="1072"/>
      <c r="T25" s="1072"/>
      <c r="U25" s="1072" t="e">
        <f>#REF!</f>
        <v>#REF!</v>
      </c>
      <c r="V25" s="1072">
        <f>'5.31'!D40</f>
        <v>73.364000000000004</v>
      </c>
      <c r="W25" s="1072"/>
      <c r="X25" s="690"/>
      <c r="Y25" s="697"/>
      <c r="Z25" s="691"/>
    </row>
    <row r="26" spans="1:26" ht="33.75" x14ac:dyDescent="0.2">
      <c r="A26" s="694"/>
      <c r="B26" s="711" t="s">
        <v>835</v>
      </c>
      <c r="C26" s="1072">
        <f t="shared" si="24"/>
        <v>0</v>
      </c>
      <c r="D26" s="1072"/>
      <c r="E26" s="1072"/>
      <c r="F26" s="1074">
        <f t="shared" si="32"/>
        <v>3000</v>
      </c>
      <c r="G26" s="1072"/>
      <c r="H26" s="1072">
        <v>3000</v>
      </c>
      <c r="I26" s="1072"/>
      <c r="J26" s="1072"/>
      <c r="K26" s="1072"/>
      <c r="L26" s="1072">
        <f t="shared" si="25"/>
        <v>0</v>
      </c>
      <c r="M26" s="1072"/>
      <c r="N26" s="1072"/>
      <c r="O26" s="1072">
        <f>SUM(P26:Q26)</f>
        <v>3000</v>
      </c>
      <c r="P26" s="1072"/>
      <c r="Q26" s="1072">
        <f t="shared" si="23"/>
        <v>3000</v>
      </c>
      <c r="R26" s="1072">
        <f t="shared" si="29"/>
        <v>0</v>
      </c>
      <c r="S26" s="1072"/>
      <c r="T26" s="1072"/>
      <c r="U26" s="1072"/>
      <c r="V26" s="1072"/>
      <c r="W26" s="1072"/>
      <c r="X26" s="690"/>
      <c r="Y26" s="697"/>
      <c r="Z26" s="691"/>
    </row>
    <row r="27" spans="1:26" s="698" customFormat="1" ht="20.25" customHeight="1" x14ac:dyDescent="0.2">
      <c r="A27" s="712"/>
      <c r="B27" s="713" t="s">
        <v>848</v>
      </c>
      <c r="C27" s="1070">
        <f>SUM(C28:C39)</f>
        <v>9779.8688000000002</v>
      </c>
      <c r="D27" s="1070">
        <f t="shared" ref="D27:E27" si="33">SUM(D28:D39)</f>
        <v>0</v>
      </c>
      <c r="E27" s="1070">
        <f t="shared" si="33"/>
        <v>9779.8688000000002</v>
      </c>
      <c r="F27" s="1070">
        <f>SUM(F28:F38)</f>
        <v>19082</v>
      </c>
      <c r="G27" s="1070">
        <f>SUM(G28:G38)</f>
        <v>0</v>
      </c>
      <c r="H27" s="1070">
        <f>SUM(H28:H38)</f>
        <v>19082</v>
      </c>
      <c r="I27" s="1070">
        <f t="shared" ref="I27:K27" si="34">SUM(I28:I38)</f>
        <v>1582.809</v>
      </c>
      <c r="J27" s="1070">
        <f t="shared" si="34"/>
        <v>0</v>
      </c>
      <c r="K27" s="1070">
        <f t="shared" si="34"/>
        <v>1582.809</v>
      </c>
      <c r="L27" s="1070">
        <f>SUM(L28:L39)</f>
        <v>10375.203383999999</v>
      </c>
      <c r="M27" s="1070">
        <f t="shared" ref="M27" si="35">SUM(M28:M39)</f>
        <v>0</v>
      </c>
      <c r="N27" s="1070">
        <f>SUM(N28:N39)</f>
        <v>10375.203383999999</v>
      </c>
      <c r="O27" s="1070">
        <f t="shared" ref="O27:W27" si="36">SUM(O28:O39)</f>
        <v>18153.83612</v>
      </c>
      <c r="P27" s="1070">
        <f t="shared" si="36"/>
        <v>0</v>
      </c>
      <c r="Q27" s="1070">
        <f t="shared" si="36"/>
        <v>18844.83612</v>
      </c>
      <c r="R27" s="1070">
        <f>SUM(R28:R39)</f>
        <v>1831.6562960000001</v>
      </c>
      <c r="S27" s="1070">
        <f t="shared" si="36"/>
        <v>0</v>
      </c>
      <c r="T27" s="1070">
        <f t="shared" si="36"/>
        <v>0</v>
      </c>
      <c r="U27" s="1070">
        <f t="shared" si="36"/>
        <v>0</v>
      </c>
      <c r="V27" s="1070">
        <f>SUM(V28:V39)</f>
        <v>1831.6562960000001</v>
      </c>
      <c r="W27" s="1070">
        <f t="shared" si="36"/>
        <v>0</v>
      </c>
      <c r="X27" s="690"/>
      <c r="Y27" s="697"/>
      <c r="Z27" s="714"/>
    </row>
    <row r="28" spans="1:26" ht="36" customHeight="1" x14ac:dyDescent="0.2">
      <c r="A28" s="694"/>
      <c r="B28" s="711" t="s">
        <v>640</v>
      </c>
      <c r="C28" s="1072">
        <f t="shared" si="24"/>
        <v>221.23599999999999</v>
      </c>
      <c r="D28" s="1072"/>
      <c r="E28" s="1072">
        <v>221.23599999999999</v>
      </c>
      <c r="F28" s="1072">
        <f t="shared" si="27"/>
        <v>187</v>
      </c>
      <c r="G28" s="1072"/>
      <c r="H28" s="1072">
        <v>187</v>
      </c>
      <c r="I28" s="1072"/>
      <c r="J28" s="1072"/>
      <c r="K28" s="1072"/>
      <c r="L28" s="1072">
        <f t="shared" si="25"/>
        <v>221.23599999999999</v>
      </c>
      <c r="M28" s="1072"/>
      <c r="N28" s="1072">
        <v>221.23599999999999</v>
      </c>
      <c r="O28" s="1072">
        <f t="shared" ref="O28:O36" si="37">SUM(P28:Q28)</f>
        <v>153.714</v>
      </c>
      <c r="P28" s="1072">
        <v>0</v>
      </c>
      <c r="Q28" s="1072">
        <f t="shared" ref="Q28:Q33" si="38">H28+E28+K28-N28-V28</f>
        <v>153.714</v>
      </c>
      <c r="R28" s="1072">
        <f>SUM(S28:V28)</f>
        <v>33.286000000000001</v>
      </c>
      <c r="S28" s="1072"/>
      <c r="T28" s="1072">
        <v>0</v>
      </c>
      <c r="U28" s="1072">
        <f>H28-Q28-V28</f>
        <v>0</v>
      </c>
      <c r="V28" s="1072">
        <f>'5.31'!D30</f>
        <v>33.286000000000001</v>
      </c>
      <c r="W28" s="1072"/>
      <c r="X28" s="690"/>
      <c r="Y28" s="697"/>
    </row>
    <row r="29" spans="1:26" ht="51" customHeight="1" x14ac:dyDescent="0.2">
      <c r="A29" s="694"/>
      <c r="B29" s="715" t="s">
        <v>675</v>
      </c>
      <c r="C29" s="1072">
        <f t="shared" si="24"/>
        <v>47.892000000000003</v>
      </c>
      <c r="D29" s="1072"/>
      <c r="E29" s="1072">
        <v>47.892000000000003</v>
      </c>
      <c r="F29" s="1072">
        <f t="shared" si="27"/>
        <v>658</v>
      </c>
      <c r="G29" s="1072"/>
      <c r="H29" s="1072">
        <v>658</v>
      </c>
      <c r="I29" s="1072"/>
      <c r="J29" s="1072"/>
      <c r="K29" s="1072"/>
      <c r="L29" s="1072">
        <f t="shared" si="25"/>
        <v>47.892000000000003</v>
      </c>
      <c r="M29" s="1072"/>
      <c r="N29" s="1072">
        <v>47.892000000000003</v>
      </c>
      <c r="O29" s="1072">
        <f>SUM(P29:Q29)</f>
        <v>656.34109999999998</v>
      </c>
      <c r="P29" s="1072"/>
      <c r="Q29" s="1072">
        <f t="shared" si="38"/>
        <v>656.34109999999998</v>
      </c>
      <c r="R29" s="1072">
        <f>SUM(S29:V29)</f>
        <v>1.6589</v>
      </c>
      <c r="S29" s="1072"/>
      <c r="T29" s="1072">
        <f>G29-P29</f>
        <v>0</v>
      </c>
      <c r="U29" s="1072"/>
      <c r="V29" s="1072">
        <f>'5.31'!D31</f>
        <v>1.6589</v>
      </c>
      <c r="W29" s="1072"/>
      <c r="X29" s="690"/>
      <c r="Y29" s="697"/>
    </row>
    <row r="30" spans="1:26" s="718" customFormat="1" ht="40.5" customHeight="1" x14ac:dyDescent="0.2">
      <c r="A30" s="694"/>
      <c r="B30" s="716" t="s">
        <v>641</v>
      </c>
      <c r="C30" s="1072">
        <f t="shared" si="24"/>
        <v>20.5</v>
      </c>
      <c r="D30" s="1072"/>
      <c r="E30" s="1072">
        <v>20.5</v>
      </c>
      <c r="F30" s="1072">
        <f t="shared" si="27"/>
        <v>87</v>
      </c>
      <c r="G30" s="1072"/>
      <c r="H30" s="1072">
        <v>87</v>
      </c>
      <c r="I30" s="1072"/>
      <c r="J30" s="1072"/>
      <c r="K30" s="1072"/>
      <c r="L30" s="1072">
        <f t="shared" si="25"/>
        <v>20.5</v>
      </c>
      <c r="M30" s="1072"/>
      <c r="N30" s="1072">
        <v>20.5</v>
      </c>
      <c r="O30" s="1072">
        <f t="shared" si="37"/>
        <v>87</v>
      </c>
      <c r="P30" s="1072"/>
      <c r="Q30" s="1072">
        <f t="shared" si="38"/>
        <v>87</v>
      </c>
      <c r="R30" s="1072">
        <f>SUM(S30:V30)</f>
        <v>0</v>
      </c>
      <c r="S30" s="1072"/>
      <c r="T30" s="1072"/>
      <c r="U30" s="1072"/>
      <c r="V30" s="1072"/>
      <c r="W30" s="1072"/>
      <c r="X30" s="690"/>
      <c r="Y30" s="697"/>
      <c r="Z30" s="717"/>
    </row>
    <row r="31" spans="1:26" ht="39.75" customHeight="1" x14ac:dyDescent="0.2">
      <c r="A31" s="694"/>
      <c r="B31" s="719" t="s">
        <v>725</v>
      </c>
      <c r="C31" s="1072">
        <f t="shared" si="24"/>
        <v>4812.7686000000003</v>
      </c>
      <c r="D31" s="1072"/>
      <c r="E31" s="1072">
        <v>4812.7686000000003</v>
      </c>
      <c r="F31" s="1072">
        <f t="shared" si="27"/>
        <v>12618</v>
      </c>
      <c r="G31" s="1072"/>
      <c r="H31" s="1072">
        <v>12618</v>
      </c>
      <c r="I31" s="1072">
        <f>J31+K31</f>
        <v>1182</v>
      </c>
      <c r="J31" s="1072"/>
      <c r="K31" s="1072">
        <v>1182</v>
      </c>
      <c r="L31" s="1072">
        <f t="shared" si="25"/>
        <v>4812.7690000000002</v>
      </c>
      <c r="M31" s="1072"/>
      <c r="N31" s="1072">
        <v>4812.7690000000002</v>
      </c>
      <c r="O31" s="1072">
        <f t="shared" si="37"/>
        <v>13012.5296</v>
      </c>
      <c r="P31" s="1072"/>
      <c r="Q31" s="1072">
        <f t="shared" si="38"/>
        <v>13012.5296</v>
      </c>
      <c r="R31" s="1072">
        <f t="shared" ref="R31:R57" si="39">SUM(S31:V31)</f>
        <v>787.47</v>
      </c>
      <c r="S31" s="1072"/>
      <c r="T31" s="1072"/>
      <c r="U31" s="1072"/>
      <c r="V31" s="1072">
        <f>'5.31'!D37</f>
        <v>787.47</v>
      </c>
      <c r="W31" s="1072"/>
      <c r="X31" s="690"/>
      <c r="Y31" s="697"/>
    </row>
    <row r="32" spans="1:26" ht="39.75" customHeight="1" x14ac:dyDescent="0.2">
      <c r="A32" s="694"/>
      <c r="B32" s="719" t="s">
        <v>673</v>
      </c>
      <c r="C32" s="1072">
        <f t="shared" si="24"/>
        <v>128.286</v>
      </c>
      <c r="D32" s="1072"/>
      <c r="E32" s="1072">
        <v>128.286</v>
      </c>
      <c r="F32" s="1072">
        <f t="shared" si="27"/>
        <v>616</v>
      </c>
      <c r="G32" s="1072"/>
      <c r="H32" s="1072">
        <v>616</v>
      </c>
      <c r="I32" s="1072">
        <f>J32+K32</f>
        <v>400.80900000000003</v>
      </c>
      <c r="J32" s="1072"/>
      <c r="K32" s="1072">
        <v>400.80900000000003</v>
      </c>
      <c r="L32" s="1072">
        <f t="shared" si="25"/>
        <v>128.28538399999999</v>
      </c>
      <c r="M32" s="1072"/>
      <c r="N32" s="1072">
        <v>128.28538399999999</v>
      </c>
      <c r="O32" s="1072">
        <f t="shared" si="37"/>
        <v>780.81876599999998</v>
      </c>
      <c r="P32" s="1072"/>
      <c r="Q32" s="1072">
        <f t="shared" si="38"/>
        <v>780.81876599999998</v>
      </c>
      <c r="R32" s="1072">
        <f t="shared" si="39"/>
        <v>235.99084999999999</v>
      </c>
      <c r="S32" s="1072"/>
      <c r="T32" s="1072"/>
      <c r="U32" s="1072"/>
      <c r="V32" s="1072">
        <f>'5.31'!D36</f>
        <v>235.99084999999999</v>
      </c>
      <c r="W32" s="1072"/>
      <c r="X32" s="690"/>
      <c r="Y32" s="697"/>
    </row>
    <row r="33" spans="1:25" ht="39.75" customHeight="1" x14ac:dyDescent="0.2">
      <c r="A33" s="694"/>
      <c r="B33" s="719" t="s">
        <v>836</v>
      </c>
      <c r="C33" s="1072">
        <f t="shared" si="24"/>
        <v>0</v>
      </c>
      <c r="D33" s="1072"/>
      <c r="E33" s="1072"/>
      <c r="F33" s="1072">
        <f t="shared" si="27"/>
        <v>691</v>
      </c>
      <c r="G33" s="1072"/>
      <c r="H33" s="1072">
        <v>691</v>
      </c>
      <c r="I33" s="1072">
        <f t="shared" ref="I33:I39" si="40">J33+K33</f>
        <v>0</v>
      </c>
      <c r="J33" s="1072"/>
      <c r="K33" s="1072"/>
      <c r="L33" s="1072">
        <f t="shared" si="25"/>
        <v>0</v>
      </c>
      <c r="M33" s="1072"/>
      <c r="N33" s="1072"/>
      <c r="O33" s="1072"/>
      <c r="P33" s="1072"/>
      <c r="Q33" s="1072">
        <f t="shared" si="38"/>
        <v>691</v>
      </c>
      <c r="R33" s="1072"/>
      <c r="S33" s="1072"/>
      <c r="T33" s="1072"/>
      <c r="U33" s="1072"/>
      <c r="V33" s="1072"/>
      <c r="W33" s="1072"/>
      <c r="X33" s="690"/>
      <c r="Y33" s="697"/>
    </row>
    <row r="34" spans="1:25" ht="36" customHeight="1" x14ac:dyDescent="0.2">
      <c r="A34" s="694"/>
      <c r="B34" s="719" t="s">
        <v>648</v>
      </c>
      <c r="C34" s="1072">
        <f t="shared" si="24"/>
        <v>104.15349999999999</v>
      </c>
      <c r="D34" s="1072"/>
      <c r="E34" s="1072">
        <v>104.15349999999999</v>
      </c>
      <c r="F34" s="1072">
        <f t="shared" si="27"/>
        <v>492</v>
      </c>
      <c r="G34" s="1072"/>
      <c r="H34" s="1072">
        <v>492</v>
      </c>
      <c r="I34" s="1072">
        <f t="shared" si="40"/>
        <v>0</v>
      </c>
      <c r="J34" s="1072"/>
      <c r="K34" s="1072"/>
      <c r="L34" s="1072">
        <f t="shared" si="25"/>
        <v>255.67400000000001</v>
      </c>
      <c r="M34" s="1072"/>
      <c r="N34" s="1072">
        <f>151.52+104.154</f>
        <v>255.67400000000001</v>
      </c>
      <c r="O34" s="1072">
        <f t="shared" si="37"/>
        <v>340.47950000000003</v>
      </c>
      <c r="P34" s="1072"/>
      <c r="Q34" s="1072">
        <f t="shared" ref="Q34:Q54" si="41">H34+E34+K34-N34-V34</f>
        <v>340.47950000000003</v>
      </c>
      <c r="R34" s="1072">
        <f t="shared" si="39"/>
        <v>0</v>
      </c>
      <c r="S34" s="1072"/>
      <c r="T34" s="1072"/>
      <c r="U34" s="1072"/>
      <c r="V34" s="1072">
        <f>'5.31'!D32</f>
        <v>0</v>
      </c>
      <c r="W34" s="1072"/>
      <c r="X34" s="690">
        <f t="shared" si="30"/>
        <v>0</v>
      </c>
      <c r="Y34" s="697">
        <f t="shared" si="31"/>
        <v>0</v>
      </c>
    </row>
    <row r="35" spans="1:25" ht="38.25" customHeight="1" x14ac:dyDescent="0.2">
      <c r="A35" s="694"/>
      <c r="B35" s="720" t="s">
        <v>642</v>
      </c>
      <c r="C35" s="1072">
        <f t="shared" si="24"/>
        <v>341.32</v>
      </c>
      <c r="D35" s="1072"/>
      <c r="E35" s="1072">
        <v>341.32</v>
      </c>
      <c r="F35" s="1072">
        <f t="shared" si="27"/>
        <v>698</v>
      </c>
      <c r="G35" s="1072"/>
      <c r="H35" s="1072">
        <v>698</v>
      </c>
      <c r="I35" s="1072">
        <f t="shared" si="40"/>
        <v>0</v>
      </c>
      <c r="J35" s="1072"/>
      <c r="K35" s="1072"/>
      <c r="L35" s="1072">
        <f t="shared" si="25"/>
        <v>756.41399999999999</v>
      </c>
      <c r="M35" s="1072"/>
      <c r="N35" s="1072">
        <f>415.094+341.32</f>
        <v>756.41399999999999</v>
      </c>
      <c r="O35" s="1072">
        <f t="shared" si="37"/>
        <v>282.30112099999997</v>
      </c>
      <c r="P35" s="1072"/>
      <c r="Q35" s="1072">
        <f t="shared" si="41"/>
        <v>282.30112099999997</v>
      </c>
      <c r="R35" s="1072">
        <f t="shared" si="39"/>
        <v>0.60487899999999994</v>
      </c>
      <c r="S35" s="1072"/>
      <c r="T35" s="1072"/>
      <c r="U35" s="1072"/>
      <c r="V35" s="1072">
        <f>'5.31'!D33</f>
        <v>0.60487899999999994</v>
      </c>
      <c r="W35" s="1072"/>
      <c r="X35" s="690"/>
      <c r="Y35" s="697"/>
    </row>
    <row r="36" spans="1:25" ht="36.75" customHeight="1" x14ac:dyDescent="0.2">
      <c r="A36" s="694"/>
      <c r="B36" s="721" t="s">
        <v>643</v>
      </c>
      <c r="C36" s="1072">
        <f t="shared" si="24"/>
        <v>0</v>
      </c>
      <c r="D36" s="1072"/>
      <c r="E36" s="1072"/>
      <c r="F36" s="1072">
        <f t="shared" ref="F36:F38" si="42">SUM(G36:H36)</f>
        <v>122</v>
      </c>
      <c r="G36" s="1072"/>
      <c r="H36" s="1072">
        <v>122</v>
      </c>
      <c r="I36" s="1072">
        <f t="shared" si="40"/>
        <v>0</v>
      </c>
      <c r="J36" s="1072"/>
      <c r="K36" s="1072"/>
      <c r="L36" s="1072">
        <f t="shared" si="25"/>
        <v>0</v>
      </c>
      <c r="M36" s="1072"/>
      <c r="N36" s="1072"/>
      <c r="O36" s="1072">
        <f t="shared" si="37"/>
        <v>122</v>
      </c>
      <c r="P36" s="1072"/>
      <c r="Q36" s="1072">
        <f t="shared" si="41"/>
        <v>122</v>
      </c>
      <c r="R36" s="1072">
        <f t="shared" si="39"/>
        <v>0</v>
      </c>
      <c r="S36" s="1072"/>
      <c r="T36" s="1072"/>
      <c r="U36" s="1072"/>
      <c r="V36" s="1072"/>
      <c r="W36" s="1072"/>
      <c r="X36" s="690"/>
      <c r="Y36" s="697"/>
    </row>
    <row r="37" spans="1:25" ht="48" customHeight="1" x14ac:dyDescent="0.2">
      <c r="A37" s="694"/>
      <c r="B37" s="720" t="s">
        <v>792</v>
      </c>
      <c r="C37" s="1072">
        <f t="shared" si="24"/>
        <v>4085.7121999999999</v>
      </c>
      <c r="D37" s="1072"/>
      <c r="E37" s="1072">
        <v>4085.7121999999999</v>
      </c>
      <c r="F37" s="1072">
        <f t="shared" si="42"/>
        <v>2660</v>
      </c>
      <c r="G37" s="1072"/>
      <c r="H37" s="1072">
        <v>2660</v>
      </c>
      <c r="I37" s="1072">
        <f t="shared" si="40"/>
        <v>0</v>
      </c>
      <c r="J37" s="1072"/>
      <c r="K37" s="1072"/>
      <c r="L37" s="1072">
        <f t="shared" si="25"/>
        <v>4085.712</v>
      </c>
      <c r="M37" s="1072"/>
      <c r="N37" s="1072">
        <f>4085.712</f>
        <v>4085.712</v>
      </c>
      <c r="O37" s="1072">
        <f>SUM(P37:Q37)</f>
        <v>1891.9571999999998</v>
      </c>
      <c r="P37" s="1072"/>
      <c r="Q37" s="1072">
        <f t="shared" si="41"/>
        <v>1891.9571999999998</v>
      </c>
      <c r="R37" s="1072">
        <f>SUM(S37:V37)</f>
        <v>768.04300000000001</v>
      </c>
      <c r="S37" s="1072"/>
      <c r="T37" s="1072"/>
      <c r="U37" s="1072"/>
      <c r="V37" s="1072">
        <f>'5.31'!D34</f>
        <v>768.04300000000001</v>
      </c>
      <c r="W37" s="1072"/>
      <c r="X37" s="690"/>
      <c r="Y37" s="697"/>
    </row>
    <row r="38" spans="1:25" ht="32.25" customHeight="1" x14ac:dyDescent="0.2">
      <c r="A38" s="694"/>
      <c r="B38" s="722" t="s">
        <v>646</v>
      </c>
      <c r="C38" s="1072">
        <f t="shared" si="24"/>
        <v>18.000499999999999</v>
      </c>
      <c r="D38" s="1072"/>
      <c r="E38" s="1072">
        <v>18.000499999999999</v>
      </c>
      <c r="F38" s="1072">
        <f t="shared" si="42"/>
        <v>253</v>
      </c>
      <c r="G38" s="1072"/>
      <c r="H38" s="1072">
        <v>253</v>
      </c>
      <c r="I38" s="1072">
        <f t="shared" si="40"/>
        <v>0</v>
      </c>
      <c r="J38" s="1072"/>
      <c r="K38" s="1072"/>
      <c r="L38" s="1072">
        <f t="shared" si="25"/>
        <v>46.721000000000004</v>
      </c>
      <c r="M38" s="1072"/>
      <c r="N38" s="1072">
        <f>28.72+18.001</f>
        <v>46.721000000000004</v>
      </c>
      <c r="O38" s="1072">
        <f>SUM(P38:Q38)</f>
        <v>219.67683299999999</v>
      </c>
      <c r="P38" s="1072"/>
      <c r="Q38" s="1072">
        <f t="shared" si="41"/>
        <v>219.67683299999999</v>
      </c>
      <c r="R38" s="1072">
        <f t="shared" si="39"/>
        <v>4.6026670000000003</v>
      </c>
      <c r="S38" s="1072"/>
      <c r="T38" s="1072"/>
      <c r="U38" s="1072"/>
      <c r="V38" s="1072">
        <f>'5.31'!D35</f>
        <v>4.6026670000000003</v>
      </c>
      <c r="W38" s="1072"/>
      <c r="X38" s="690"/>
      <c r="Y38" s="697"/>
    </row>
    <row r="39" spans="1:25" ht="32.25" customHeight="1" x14ac:dyDescent="0.2">
      <c r="A39" s="694"/>
      <c r="B39" s="722" t="s">
        <v>796</v>
      </c>
      <c r="C39" s="1072">
        <f t="shared" si="24"/>
        <v>0</v>
      </c>
      <c r="D39" s="1072"/>
      <c r="E39" s="1072"/>
      <c r="F39" s="1072"/>
      <c r="G39" s="1072"/>
      <c r="H39" s="1072"/>
      <c r="I39" s="1072">
        <f t="shared" si="40"/>
        <v>607.01800000000003</v>
      </c>
      <c r="J39" s="1072"/>
      <c r="K39" s="1072">
        <v>607.01800000000003</v>
      </c>
      <c r="L39" s="1072"/>
      <c r="M39" s="1072"/>
      <c r="N39" s="1072"/>
      <c r="O39" s="1072">
        <f>SUM(P39:Q39)</f>
        <v>607.01800000000003</v>
      </c>
      <c r="P39" s="1072"/>
      <c r="Q39" s="1072">
        <f t="shared" si="41"/>
        <v>607.01800000000003</v>
      </c>
      <c r="R39" s="1072">
        <f t="shared" si="39"/>
        <v>0</v>
      </c>
      <c r="S39" s="1072"/>
      <c r="T39" s="1072"/>
      <c r="U39" s="1072"/>
      <c r="V39" s="1072"/>
      <c r="W39" s="1072"/>
      <c r="X39" s="690"/>
      <c r="Y39" s="697"/>
    </row>
    <row r="40" spans="1:25" s="698" customFormat="1" ht="25.5" customHeight="1" x14ac:dyDescent="0.2">
      <c r="A40" s="712"/>
      <c r="B40" s="723" t="s">
        <v>837</v>
      </c>
      <c r="C40" s="1070">
        <f t="shared" ref="C40:N40" si="43">SUM(C41:C55)</f>
        <v>0</v>
      </c>
      <c r="D40" s="1070">
        <f t="shared" si="43"/>
        <v>0</v>
      </c>
      <c r="E40" s="1070">
        <f t="shared" si="43"/>
        <v>0</v>
      </c>
      <c r="F40" s="1070">
        <f t="shared" si="43"/>
        <v>318</v>
      </c>
      <c r="G40" s="1070">
        <f t="shared" si="43"/>
        <v>0</v>
      </c>
      <c r="H40" s="1070">
        <f t="shared" si="43"/>
        <v>318</v>
      </c>
      <c r="I40" s="1070">
        <f t="shared" si="43"/>
        <v>33067.842377000001</v>
      </c>
      <c r="J40" s="1070">
        <f t="shared" si="43"/>
        <v>0</v>
      </c>
      <c r="K40" s="1070">
        <f t="shared" si="43"/>
        <v>33067.842377000001</v>
      </c>
      <c r="L40" s="1070">
        <f t="shared" si="43"/>
        <v>0</v>
      </c>
      <c r="M40" s="1070">
        <f t="shared" si="43"/>
        <v>0</v>
      </c>
      <c r="N40" s="1070">
        <f t="shared" si="43"/>
        <v>0</v>
      </c>
      <c r="O40" s="1070" t="e">
        <f>SUM(O41:O55)</f>
        <v>#REF!</v>
      </c>
      <c r="P40" s="1070">
        <f t="shared" ref="P40:W40" si="44">SUM(P41:P55)</f>
        <v>0</v>
      </c>
      <c r="Q40" s="1070" t="e">
        <f t="shared" si="44"/>
        <v>#REF!</v>
      </c>
      <c r="R40" s="1070" t="e">
        <f>SUM(R41:R55)</f>
        <v>#REF!</v>
      </c>
      <c r="S40" s="1070">
        <f t="shared" si="44"/>
        <v>0</v>
      </c>
      <c r="T40" s="1070">
        <f t="shared" si="44"/>
        <v>0</v>
      </c>
      <c r="U40" s="1070" t="e">
        <f t="shared" si="44"/>
        <v>#REF!</v>
      </c>
      <c r="V40" s="1070">
        <f t="shared" si="44"/>
        <v>13.575401000000015</v>
      </c>
      <c r="W40" s="1070">
        <f t="shared" si="44"/>
        <v>0</v>
      </c>
      <c r="X40" s="690"/>
      <c r="Y40" s="697"/>
    </row>
    <row r="41" spans="1:25" ht="36" customHeight="1" x14ac:dyDescent="0.2">
      <c r="A41" s="694"/>
      <c r="B41" s="715" t="s">
        <v>839</v>
      </c>
      <c r="C41" s="1072">
        <f t="shared" si="24"/>
        <v>0</v>
      </c>
      <c r="D41" s="1072"/>
      <c r="E41" s="1072"/>
      <c r="F41" s="398"/>
      <c r="G41" s="1072"/>
      <c r="H41" s="398"/>
      <c r="I41" s="1072">
        <f t="shared" ref="I41:I54" si="45">SUM(J41:K41)</f>
        <v>2207</v>
      </c>
      <c r="J41" s="398"/>
      <c r="K41" s="398">
        <v>2207</v>
      </c>
      <c r="L41" s="398"/>
      <c r="M41" s="398"/>
      <c r="N41" s="1072"/>
      <c r="O41" s="1072">
        <f>SUM(P41:Q41)</f>
        <v>2207</v>
      </c>
      <c r="P41" s="1072"/>
      <c r="Q41" s="1072">
        <f t="shared" si="41"/>
        <v>2207</v>
      </c>
      <c r="R41" s="1072">
        <f t="shared" si="39"/>
        <v>0</v>
      </c>
      <c r="S41" s="1072"/>
      <c r="T41" s="1072"/>
      <c r="U41" s="1072"/>
      <c r="V41" s="1072"/>
      <c r="W41" s="1072"/>
      <c r="X41" s="690">
        <f t="shared" si="30"/>
        <v>0</v>
      </c>
      <c r="Y41" s="697">
        <f t="shared" si="31"/>
        <v>0</v>
      </c>
    </row>
    <row r="42" spans="1:25" ht="40.5" customHeight="1" x14ac:dyDescent="0.2">
      <c r="A42" s="694"/>
      <c r="B42" s="699" t="s">
        <v>840</v>
      </c>
      <c r="C42" s="1072">
        <f t="shared" si="24"/>
        <v>0</v>
      </c>
      <c r="D42" s="1072"/>
      <c r="E42" s="1072"/>
      <c r="F42" s="1074">
        <f>H42</f>
        <v>0</v>
      </c>
      <c r="G42" s="1072"/>
      <c r="H42" s="398"/>
      <c r="I42" s="1072">
        <f t="shared" si="45"/>
        <v>416.642</v>
      </c>
      <c r="J42" s="398"/>
      <c r="K42" s="398">
        <v>416.642</v>
      </c>
      <c r="L42" s="398"/>
      <c r="M42" s="398"/>
      <c r="N42" s="1074"/>
      <c r="O42" s="1072">
        <f t="shared" ref="O42:O55" si="46">SUM(P42:Q42)</f>
        <v>416.642</v>
      </c>
      <c r="P42" s="1072"/>
      <c r="Q42" s="1072">
        <f t="shared" si="41"/>
        <v>416.642</v>
      </c>
      <c r="R42" s="1072">
        <f t="shared" si="39"/>
        <v>0</v>
      </c>
      <c r="S42" s="1072"/>
      <c r="T42" s="1072"/>
      <c r="U42" s="1072"/>
      <c r="V42" s="1072"/>
      <c r="W42" s="1072"/>
      <c r="X42" s="690">
        <f t="shared" si="30"/>
        <v>0</v>
      </c>
      <c r="Y42" s="697">
        <f t="shared" si="31"/>
        <v>0</v>
      </c>
    </row>
    <row r="43" spans="1:25" ht="30" customHeight="1" x14ac:dyDescent="0.2">
      <c r="A43" s="694"/>
      <c r="B43" s="699" t="s">
        <v>921</v>
      </c>
      <c r="C43" s="1072">
        <f t="shared" si="24"/>
        <v>0</v>
      </c>
      <c r="D43" s="1072"/>
      <c r="E43" s="1072"/>
      <c r="F43" s="1074">
        <f>H43</f>
        <v>0</v>
      </c>
      <c r="G43" s="1072"/>
      <c r="H43" s="398"/>
      <c r="I43" s="1072">
        <f t="shared" si="45"/>
        <v>275.94</v>
      </c>
      <c r="J43" s="398"/>
      <c r="K43" s="398">
        <f>134.108+141.832</f>
        <v>275.94</v>
      </c>
      <c r="L43" s="398"/>
      <c r="M43" s="398"/>
      <c r="N43" s="1074"/>
      <c r="O43" s="1072">
        <f t="shared" si="46"/>
        <v>275.94</v>
      </c>
      <c r="P43" s="1072"/>
      <c r="Q43" s="1072">
        <f t="shared" si="41"/>
        <v>275.94</v>
      </c>
      <c r="R43" s="1072">
        <f t="shared" si="39"/>
        <v>0</v>
      </c>
      <c r="S43" s="1072"/>
      <c r="T43" s="1072"/>
      <c r="U43" s="1072"/>
      <c r="V43" s="1072"/>
      <c r="W43" s="1072"/>
      <c r="X43" s="690"/>
      <c r="Y43" s="697"/>
    </row>
    <row r="44" spans="1:25" ht="30.75" customHeight="1" x14ac:dyDescent="0.2">
      <c r="A44" s="694"/>
      <c r="B44" s="699" t="s">
        <v>842</v>
      </c>
      <c r="C44" s="1072">
        <f t="shared" si="24"/>
        <v>0</v>
      </c>
      <c r="D44" s="1072"/>
      <c r="E44" s="1072"/>
      <c r="F44" s="1074"/>
      <c r="G44" s="1072"/>
      <c r="H44" s="398"/>
      <c r="I44" s="1072">
        <f>SUM(J44:K44)</f>
        <v>1400</v>
      </c>
      <c r="J44" s="398"/>
      <c r="K44" s="398">
        <f>500+900</f>
        <v>1400</v>
      </c>
      <c r="L44" s="398"/>
      <c r="M44" s="398"/>
      <c r="N44" s="1074"/>
      <c r="O44" s="1072">
        <f t="shared" si="46"/>
        <v>1399.730644</v>
      </c>
      <c r="P44" s="1072"/>
      <c r="Q44" s="1072">
        <f t="shared" si="41"/>
        <v>1399.730644</v>
      </c>
      <c r="R44" s="1072">
        <f t="shared" si="39"/>
        <v>0.26935599999999998</v>
      </c>
      <c r="S44" s="1072"/>
      <c r="T44" s="1072"/>
      <c r="U44" s="1072"/>
      <c r="V44" s="1072">
        <f>'5.31'!E27</f>
        <v>0.26935599999999998</v>
      </c>
      <c r="W44" s="1072"/>
      <c r="X44" s="690"/>
      <c r="Y44" s="697"/>
    </row>
    <row r="45" spans="1:25" ht="52.9" customHeight="1" x14ac:dyDescent="0.2">
      <c r="A45" s="694"/>
      <c r="B45" s="699" t="s">
        <v>676</v>
      </c>
      <c r="C45" s="1072">
        <f t="shared" si="24"/>
        <v>0</v>
      </c>
      <c r="D45" s="1072"/>
      <c r="E45" s="1072"/>
      <c r="F45" s="1074"/>
      <c r="G45" s="1072"/>
      <c r="H45" s="398"/>
      <c r="I45" s="1072">
        <f t="shared" si="45"/>
        <v>18.466999999999999</v>
      </c>
      <c r="J45" s="398"/>
      <c r="K45" s="398">
        <v>18.466999999999999</v>
      </c>
      <c r="L45" s="398"/>
      <c r="M45" s="398"/>
      <c r="N45" s="1072"/>
      <c r="O45" s="1072">
        <f t="shared" si="46"/>
        <v>18.466999999999999</v>
      </c>
      <c r="P45" s="1072"/>
      <c r="Q45" s="1072">
        <f t="shared" si="41"/>
        <v>18.466999999999999</v>
      </c>
      <c r="R45" s="1072">
        <f t="shared" si="39"/>
        <v>0</v>
      </c>
      <c r="S45" s="1072"/>
      <c r="T45" s="1072"/>
      <c r="U45" s="1072"/>
      <c r="V45" s="1072"/>
      <c r="W45" s="1072"/>
      <c r="X45" s="690"/>
      <c r="Y45" s="697"/>
    </row>
    <row r="46" spans="1:25" ht="42.75" customHeight="1" x14ac:dyDescent="0.2">
      <c r="A46" s="694"/>
      <c r="B46" s="699" t="s">
        <v>726</v>
      </c>
      <c r="C46" s="1072">
        <f t="shared" si="24"/>
        <v>0</v>
      </c>
      <c r="D46" s="1072"/>
      <c r="E46" s="1072"/>
      <c r="F46" s="1074">
        <f>H46</f>
        <v>0</v>
      </c>
      <c r="G46" s="1072"/>
      <c r="H46" s="398"/>
      <c r="I46" s="1072">
        <f t="shared" si="45"/>
        <v>1402.96</v>
      </c>
      <c r="J46" s="398"/>
      <c r="K46" s="398">
        <v>1402.96</v>
      </c>
      <c r="L46" s="398"/>
      <c r="M46" s="398"/>
      <c r="N46" s="1072"/>
      <c r="O46" s="1072">
        <f t="shared" si="46"/>
        <v>1402.96</v>
      </c>
      <c r="P46" s="1072"/>
      <c r="Q46" s="1072">
        <f t="shared" si="41"/>
        <v>1402.96</v>
      </c>
      <c r="R46" s="1072">
        <f t="shared" si="39"/>
        <v>0</v>
      </c>
      <c r="S46" s="1072"/>
      <c r="T46" s="1072"/>
      <c r="U46" s="1072"/>
      <c r="V46" s="1072"/>
      <c r="W46" s="1072"/>
      <c r="X46" s="690">
        <f t="shared" si="30"/>
        <v>0</v>
      </c>
      <c r="Y46" s="697">
        <f t="shared" si="31"/>
        <v>0</v>
      </c>
    </row>
    <row r="47" spans="1:25" ht="42" customHeight="1" x14ac:dyDescent="0.2">
      <c r="A47" s="694"/>
      <c r="B47" s="699" t="s">
        <v>843</v>
      </c>
      <c r="C47" s="1072">
        <f t="shared" si="24"/>
        <v>0</v>
      </c>
      <c r="D47" s="1072"/>
      <c r="E47" s="1072"/>
      <c r="F47" s="1074"/>
      <c r="G47" s="1072"/>
      <c r="H47" s="398"/>
      <c r="I47" s="1072">
        <f t="shared" si="45"/>
        <v>2401.7510000000002</v>
      </c>
      <c r="J47" s="398"/>
      <c r="K47" s="398">
        <v>2401.7510000000002</v>
      </c>
      <c r="L47" s="398"/>
      <c r="M47" s="398"/>
      <c r="N47" s="1072"/>
      <c r="O47" s="1072">
        <f t="shared" si="46"/>
        <v>2401.7510000000002</v>
      </c>
      <c r="P47" s="1072"/>
      <c r="Q47" s="1072">
        <f t="shared" si="41"/>
        <v>2401.7510000000002</v>
      </c>
      <c r="R47" s="1072">
        <f t="shared" si="39"/>
        <v>0</v>
      </c>
      <c r="S47" s="1072"/>
      <c r="T47" s="1072"/>
      <c r="U47" s="1072"/>
      <c r="V47" s="1072"/>
      <c r="W47" s="1072"/>
      <c r="X47" s="690">
        <f t="shared" si="30"/>
        <v>0</v>
      </c>
      <c r="Y47" s="697">
        <f t="shared" si="31"/>
        <v>0</v>
      </c>
    </row>
    <row r="48" spans="1:25" ht="27.75" customHeight="1" x14ac:dyDescent="0.2">
      <c r="A48" s="694"/>
      <c r="B48" s="699" t="s">
        <v>844</v>
      </c>
      <c r="C48" s="1072">
        <f t="shared" si="24"/>
        <v>0</v>
      </c>
      <c r="D48" s="1072"/>
      <c r="E48" s="1072"/>
      <c r="F48" s="1074"/>
      <c r="G48" s="1072"/>
      <c r="H48" s="398"/>
      <c r="I48" s="1072">
        <f t="shared" si="45"/>
        <v>7500</v>
      </c>
      <c r="J48" s="398"/>
      <c r="K48" s="398">
        <v>7500</v>
      </c>
      <c r="L48" s="398"/>
      <c r="M48" s="398"/>
      <c r="N48" s="1072"/>
      <c r="O48" s="1072">
        <f t="shared" si="46"/>
        <v>7500</v>
      </c>
      <c r="P48" s="1072"/>
      <c r="Q48" s="1072">
        <f t="shared" si="41"/>
        <v>7500</v>
      </c>
      <c r="R48" s="1072">
        <f t="shared" si="39"/>
        <v>0</v>
      </c>
      <c r="S48" s="1072"/>
      <c r="T48" s="1072"/>
      <c r="U48" s="1072"/>
      <c r="V48" s="1072"/>
      <c r="W48" s="1072"/>
      <c r="X48" s="690">
        <f t="shared" si="30"/>
        <v>0</v>
      </c>
      <c r="Y48" s="697">
        <f t="shared" si="31"/>
        <v>0</v>
      </c>
    </row>
    <row r="49" spans="1:28" ht="27.75" customHeight="1" x14ac:dyDescent="0.2">
      <c r="A49" s="694"/>
      <c r="B49" s="699" t="s">
        <v>907</v>
      </c>
      <c r="C49" s="1072">
        <f t="shared" si="24"/>
        <v>0</v>
      </c>
      <c r="D49" s="1072"/>
      <c r="E49" s="1072"/>
      <c r="F49" s="1074"/>
      <c r="G49" s="1072"/>
      <c r="H49" s="398"/>
      <c r="I49" s="1072">
        <f>SUM(J49:K49)</f>
        <v>23.467500000000001</v>
      </c>
      <c r="J49" s="398"/>
      <c r="K49" s="398">
        <v>23.467500000000001</v>
      </c>
      <c r="L49" s="398"/>
      <c r="M49" s="398"/>
      <c r="N49" s="1072"/>
      <c r="O49" s="1072">
        <f t="shared" si="46"/>
        <v>23.467500000000001</v>
      </c>
      <c r="P49" s="1072"/>
      <c r="Q49" s="1072">
        <f t="shared" si="41"/>
        <v>23.467500000000001</v>
      </c>
      <c r="R49" s="1072">
        <f t="shared" si="39"/>
        <v>0</v>
      </c>
      <c r="S49" s="1072"/>
      <c r="T49" s="1072"/>
      <c r="U49" s="1072"/>
      <c r="V49" s="1072"/>
      <c r="W49" s="1072"/>
      <c r="X49" s="690">
        <f t="shared" si="30"/>
        <v>0</v>
      </c>
      <c r="Y49" s="697">
        <f t="shared" si="31"/>
        <v>0</v>
      </c>
      <c r="AB49" s="963">
        <f>Q50+Q48</f>
        <v>18779</v>
      </c>
    </row>
    <row r="50" spans="1:28" ht="27.75" customHeight="1" x14ac:dyDescent="0.2">
      <c r="A50" s="694"/>
      <c r="B50" s="699" t="s">
        <v>845</v>
      </c>
      <c r="C50" s="1072">
        <f t="shared" si="24"/>
        <v>0</v>
      </c>
      <c r="D50" s="1072"/>
      <c r="E50" s="1072"/>
      <c r="F50" s="1074"/>
      <c r="G50" s="1072"/>
      <c r="H50" s="398"/>
      <c r="I50" s="1072">
        <f>SUM(J50:K50)</f>
        <v>11279</v>
      </c>
      <c r="J50" s="398"/>
      <c r="K50" s="398">
        <v>11279</v>
      </c>
      <c r="L50" s="398"/>
      <c r="M50" s="398"/>
      <c r="N50" s="1072"/>
      <c r="O50" s="1072">
        <f t="shared" si="46"/>
        <v>11279</v>
      </c>
      <c r="P50" s="1072"/>
      <c r="Q50" s="1072">
        <f t="shared" si="41"/>
        <v>11279</v>
      </c>
      <c r="R50" s="1072">
        <f t="shared" si="39"/>
        <v>0</v>
      </c>
      <c r="S50" s="1072"/>
      <c r="T50" s="1072"/>
      <c r="U50" s="1072"/>
      <c r="V50" s="1072"/>
      <c r="W50" s="1072"/>
      <c r="X50" s="690"/>
      <c r="Y50" s="697"/>
    </row>
    <row r="51" spans="1:28" ht="27.75" customHeight="1" x14ac:dyDescent="0.2">
      <c r="A51" s="694"/>
      <c r="B51" s="699" t="s">
        <v>846</v>
      </c>
      <c r="C51" s="1072">
        <f t="shared" si="24"/>
        <v>0</v>
      </c>
      <c r="D51" s="1072"/>
      <c r="E51" s="1072"/>
      <c r="F51" s="1074"/>
      <c r="G51" s="1072"/>
      <c r="H51" s="398"/>
      <c r="I51" s="1072">
        <f>SUM(J51:K51)</f>
        <v>55.238999999999997</v>
      </c>
      <c r="J51" s="398"/>
      <c r="K51" s="398">
        <v>55.238999999999997</v>
      </c>
      <c r="L51" s="398"/>
      <c r="M51" s="398"/>
      <c r="N51" s="1072"/>
      <c r="O51" s="1072">
        <f t="shared" si="46"/>
        <v>53.887799999999984</v>
      </c>
      <c r="P51" s="1072"/>
      <c r="Q51" s="1072">
        <f t="shared" si="41"/>
        <v>53.887799999999984</v>
      </c>
      <c r="R51" s="1072">
        <f t="shared" si="39"/>
        <v>1.3512000000000164</v>
      </c>
      <c r="S51" s="1072"/>
      <c r="T51" s="1072"/>
      <c r="U51" s="1072"/>
      <c r="V51" s="1097">
        <f>'5.31'!D26</f>
        <v>1.3512000000000164</v>
      </c>
      <c r="W51" s="1072"/>
      <c r="X51" s="690"/>
      <c r="Y51" s="697"/>
    </row>
    <row r="52" spans="1:28" ht="30.75" customHeight="1" x14ac:dyDescent="0.2">
      <c r="A52" s="694"/>
      <c r="B52" s="715" t="s">
        <v>847</v>
      </c>
      <c r="C52" s="1072">
        <f t="shared" si="24"/>
        <v>0</v>
      </c>
      <c r="D52" s="1072"/>
      <c r="E52" s="1072"/>
      <c r="F52" s="398"/>
      <c r="G52" s="1072"/>
      <c r="H52" s="251"/>
      <c r="I52" s="1072">
        <f t="shared" si="45"/>
        <v>630.20000000000005</v>
      </c>
      <c r="J52" s="251"/>
      <c r="K52" s="251">
        <v>630.20000000000005</v>
      </c>
      <c r="L52" s="251"/>
      <c r="M52" s="251"/>
      <c r="N52" s="1074"/>
      <c r="O52" s="1072">
        <f t="shared" si="46"/>
        <v>630.20000000000005</v>
      </c>
      <c r="P52" s="1072"/>
      <c r="Q52" s="1072">
        <f t="shared" si="41"/>
        <v>630.20000000000005</v>
      </c>
      <c r="R52" s="1072">
        <f t="shared" si="39"/>
        <v>0</v>
      </c>
      <c r="S52" s="1072"/>
      <c r="T52" s="1072"/>
      <c r="U52" s="1072"/>
      <c r="V52" s="1072"/>
      <c r="W52" s="1072"/>
      <c r="X52" s="690"/>
      <c r="Y52" s="697"/>
    </row>
    <row r="53" spans="1:28" ht="30.75" customHeight="1" x14ac:dyDescent="0.25">
      <c r="A53" s="694"/>
      <c r="B53" s="711" t="s">
        <v>851</v>
      </c>
      <c r="C53" s="1072">
        <f t="shared" si="24"/>
        <v>0</v>
      </c>
      <c r="D53" s="1072"/>
      <c r="E53" s="1072"/>
      <c r="F53" s="1072">
        <f>SUM(G53:H53)</f>
        <v>0</v>
      </c>
      <c r="G53" s="340"/>
      <c r="H53" s="1068"/>
      <c r="I53" s="1072">
        <f t="shared" si="45"/>
        <v>5148</v>
      </c>
      <c r="J53" s="1068"/>
      <c r="K53" s="1068">
        <v>5148</v>
      </c>
      <c r="L53" s="1068"/>
      <c r="M53" s="1068"/>
      <c r="N53" s="1074"/>
      <c r="O53" s="1072" t="e">
        <f t="shared" si="46"/>
        <v>#REF!</v>
      </c>
      <c r="P53" s="340"/>
      <c r="Q53" s="1072" t="e">
        <f>H53+E53+K53-N53-V53-U53</f>
        <v>#REF!</v>
      </c>
      <c r="R53" s="1072" t="e">
        <f t="shared" si="39"/>
        <v>#REF!</v>
      </c>
      <c r="S53" s="340"/>
      <c r="T53" s="340"/>
      <c r="U53" s="1072" t="e">
        <f>#REF!</f>
        <v>#REF!</v>
      </c>
      <c r="V53" s="1090">
        <f>'5.31'!D39</f>
        <v>4.1445000000000003E-2</v>
      </c>
      <c r="W53" s="340"/>
      <c r="X53" s="690"/>
      <c r="Y53" s="697"/>
    </row>
    <row r="54" spans="1:28" ht="29.25" customHeight="1" x14ac:dyDescent="0.25">
      <c r="A54" s="725"/>
      <c r="B54" s="1054" t="s">
        <v>885</v>
      </c>
      <c r="C54" s="1072">
        <f t="shared" si="24"/>
        <v>0</v>
      </c>
      <c r="D54" s="340"/>
      <c r="E54" s="340"/>
      <c r="F54" s="1072">
        <f t="shared" ref="F54:F55" si="47">SUM(G54:H54)</f>
        <v>0</v>
      </c>
      <c r="G54" s="340"/>
      <c r="H54" s="340"/>
      <c r="I54" s="1072">
        <f t="shared" si="45"/>
        <v>309.17587700000001</v>
      </c>
      <c r="J54" s="340"/>
      <c r="K54" s="340">
        <v>309.17587700000001</v>
      </c>
      <c r="L54" s="340"/>
      <c r="M54" s="340"/>
      <c r="N54" s="340"/>
      <c r="O54" s="1072">
        <f t="shared" si="46"/>
        <v>309.17587700000001</v>
      </c>
      <c r="P54" s="340"/>
      <c r="Q54" s="1072">
        <f t="shared" si="41"/>
        <v>309.17587700000001</v>
      </c>
      <c r="R54" s="1072">
        <f t="shared" si="39"/>
        <v>0</v>
      </c>
      <c r="S54" s="340"/>
      <c r="T54" s="340"/>
      <c r="U54" s="340"/>
      <c r="V54" s="340"/>
      <c r="W54" s="340"/>
      <c r="X54" s="690"/>
      <c r="Y54" s="697"/>
    </row>
    <row r="55" spans="1:28" ht="15" customHeight="1" x14ac:dyDescent="0.25">
      <c r="A55" s="725"/>
      <c r="B55" s="724" t="s">
        <v>808</v>
      </c>
      <c r="C55" s="340"/>
      <c r="D55" s="340"/>
      <c r="E55" s="340"/>
      <c r="F55" s="1072">
        <f t="shared" si="47"/>
        <v>318</v>
      </c>
      <c r="G55" s="340"/>
      <c r="H55" s="340">
        <v>318</v>
      </c>
      <c r="I55" s="340"/>
      <c r="J55" s="340"/>
      <c r="K55" s="340"/>
      <c r="L55" s="340"/>
      <c r="M55" s="340"/>
      <c r="N55" s="1075"/>
      <c r="O55" s="1072">
        <f t="shared" si="46"/>
        <v>306.08659999999998</v>
      </c>
      <c r="P55" s="340"/>
      <c r="Q55" s="340">
        <v>306.08659999999998</v>
      </c>
      <c r="R55" s="1072">
        <f t="shared" si="39"/>
        <v>11.913399999999999</v>
      </c>
      <c r="S55" s="340"/>
      <c r="T55" s="340"/>
      <c r="U55" s="340"/>
      <c r="V55" s="340">
        <f>'5.31'!D38</f>
        <v>11.913399999999999</v>
      </c>
      <c r="W55" s="340"/>
      <c r="X55" s="690"/>
      <c r="Y55" s="697"/>
    </row>
    <row r="56" spans="1:28" s="780" customFormat="1" ht="21" customHeight="1" x14ac:dyDescent="0.25">
      <c r="A56" s="778"/>
      <c r="B56" s="779" t="s">
        <v>853</v>
      </c>
      <c r="C56" s="1066"/>
      <c r="D56" s="1066"/>
      <c r="E56" s="1066"/>
      <c r="F56" s="1067">
        <f>F57</f>
        <v>0</v>
      </c>
      <c r="G56" s="1067">
        <f t="shared" ref="G56:W56" si="48">G57</f>
        <v>0</v>
      </c>
      <c r="H56" s="1067">
        <f t="shared" si="48"/>
        <v>0</v>
      </c>
      <c r="I56" s="1067">
        <f t="shared" si="48"/>
        <v>0</v>
      </c>
      <c r="J56" s="1067">
        <f t="shared" si="48"/>
        <v>3800</v>
      </c>
      <c r="K56" s="1067">
        <f t="shared" si="48"/>
        <v>0</v>
      </c>
      <c r="L56" s="1067">
        <f t="shared" si="48"/>
        <v>0</v>
      </c>
      <c r="M56" s="1067">
        <f t="shared" si="48"/>
        <v>0</v>
      </c>
      <c r="N56" s="1067">
        <f t="shared" si="48"/>
        <v>0</v>
      </c>
      <c r="O56" s="1067">
        <f t="shared" si="48"/>
        <v>0</v>
      </c>
      <c r="P56" s="1067" t="e">
        <f t="shared" si="48"/>
        <v>#REF!</v>
      </c>
      <c r="Q56" s="1067">
        <f t="shared" si="48"/>
        <v>0</v>
      </c>
      <c r="R56" s="1067" t="e">
        <f t="shared" si="48"/>
        <v>#REF!</v>
      </c>
      <c r="S56" s="1067" t="e">
        <f t="shared" si="48"/>
        <v>#REF!</v>
      </c>
      <c r="T56" s="1067">
        <f t="shared" si="48"/>
        <v>17.023</v>
      </c>
      <c r="U56" s="1067">
        <f t="shared" si="48"/>
        <v>0</v>
      </c>
      <c r="V56" s="1067">
        <f t="shared" si="48"/>
        <v>0</v>
      </c>
      <c r="W56" s="1067">
        <f t="shared" si="48"/>
        <v>0</v>
      </c>
    </row>
    <row r="57" spans="1:28" s="1154" customFormat="1" ht="24" x14ac:dyDescent="0.25">
      <c r="A57" s="1147"/>
      <c r="B57" s="1148" t="s">
        <v>777</v>
      </c>
      <c r="C57" s="1149"/>
      <c r="D57" s="1149"/>
      <c r="E57" s="1149"/>
      <c r="F57" s="1149"/>
      <c r="G57" s="1149"/>
      <c r="H57" s="1150"/>
      <c r="I57" s="1150"/>
      <c r="J57" s="1151">
        <v>3800</v>
      </c>
      <c r="K57" s="1150"/>
      <c r="L57" s="1150"/>
      <c r="M57" s="1150"/>
      <c r="N57" s="1149"/>
      <c r="O57" s="1149"/>
      <c r="P57" s="1151" t="e">
        <f>'62_NĐ31'!#REF!</f>
        <v>#REF!</v>
      </c>
      <c r="Q57" s="1153"/>
      <c r="R57" s="1152" t="e">
        <f t="shared" si="39"/>
        <v>#REF!</v>
      </c>
      <c r="S57" s="1153" t="e">
        <f>J57-P57-T57</f>
        <v>#REF!</v>
      </c>
      <c r="T57" s="1153">
        <f>'5.31'!D15</f>
        <v>17.023</v>
      </c>
      <c r="U57" s="1149"/>
      <c r="V57" s="1149"/>
      <c r="W57" s="1149"/>
    </row>
    <row r="58" spans="1:28" x14ac:dyDescent="0.2">
      <c r="H58" s="262"/>
      <c r="I58" s="262"/>
      <c r="J58" s="262"/>
      <c r="K58" s="262"/>
      <c r="L58" s="262"/>
      <c r="M58" s="262"/>
      <c r="S58" s="726"/>
    </row>
    <row r="59" spans="1:28" x14ac:dyDescent="0.2">
      <c r="H59" s="262"/>
      <c r="I59" s="262"/>
      <c r="J59" s="262"/>
      <c r="K59" s="262"/>
      <c r="L59" s="262"/>
      <c r="M59" s="262"/>
    </row>
    <row r="60" spans="1:28" x14ac:dyDescent="0.2">
      <c r="H60" s="262"/>
      <c r="I60" s="262"/>
      <c r="J60" s="262"/>
      <c r="K60" s="262"/>
      <c r="L60" s="262"/>
      <c r="M60" s="262"/>
    </row>
    <row r="61" spans="1:28" x14ac:dyDescent="0.2">
      <c r="H61" s="262"/>
      <c r="I61" s="262"/>
      <c r="J61" s="262"/>
      <c r="K61" s="262"/>
      <c r="L61" s="262"/>
      <c r="M61" s="262"/>
    </row>
    <row r="62" spans="1:28" x14ac:dyDescent="0.2">
      <c r="H62" s="262"/>
      <c r="I62" s="262"/>
      <c r="J62" s="262"/>
      <c r="K62" s="262"/>
      <c r="L62" s="262"/>
      <c r="M62" s="262"/>
    </row>
    <row r="63" spans="1:28" x14ac:dyDescent="0.2">
      <c r="H63" s="262"/>
      <c r="I63" s="262"/>
      <c r="J63" s="262"/>
      <c r="K63" s="262"/>
      <c r="L63" s="262"/>
      <c r="M63" s="262"/>
    </row>
    <row r="64" spans="1:28" x14ac:dyDescent="0.2">
      <c r="H64" s="262"/>
      <c r="I64" s="262"/>
      <c r="J64" s="262"/>
      <c r="K64" s="262"/>
      <c r="L64" s="262"/>
      <c r="M64" s="262"/>
    </row>
    <row r="65" spans="8:13" x14ac:dyDescent="0.2">
      <c r="H65" s="262"/>
      <c r="I65" s="262"/>
      <c r="J65" s="262"/>
      <c r="K65" s="262"/>
      <c r="L65" s="262"/>
      <c r="M65" s="262"/>
    </row>
    <row r="66" spans="8:13" x14ac:dyDescent="0.2">
      <c r="H66" s="262"/>
      <c r="I66" s="262"/>
      <c r="J66" s="262"/>
      <c r="K66" s="262"/>
      <c r="L66" s="262"/>
      <c r="M66" s="262"/>
    </row>
    <row r="67" spans="8:13" x14ac:dyDescent="0.2">
      <c r="H67" s="262"/>
      <c r="I67" s="262"/>
      <c r="J67" s="262"/>
      <c r="K67" s="262"/>
      <c r="L67" s="262"/>
      <c r="M67" s="262"/>
    </row>
  </sheetData>
  <mergeCells count="40">
    <mergeCell ref="A1:E1"/>
    <mergeCell ref="U1:W1"/>
    <mergeCell ref="A2:W2"/>
    <mergeCell ref="R3:V3"/>
    <mergeCell ref="A4:A8"/>
    <mergeCell ref="B4:B8"/>
    <mergeCell ref="C4:E4"/>
    <mergeCell ref="F4:H4"/>
    <mergeCell ref="O4:Q4"/>
    <mergeCell ref="R4:V4"/>
    <mergeCell ref="W4:W8"/>
    <mergeCell ref="C5:C8"/>
    <mergeCell ref="D5:E5"/>
    <mergeCell ref="F5:F8"/>
    <mergeCell ref="R5:R8"/>
    <mergeCell ref="S5:T5"/>
    <mergeCell ref="V6:V8"/>
    <mergeCell ref="U5:V5"/>
    <mergeCell ref="Q6:Q8"/>
    <mergeCell ref="S6:S8"/>
    <mergeCell ref="T6:T8"/>
    <mergeCell ref="U6:U8"/>
    <mergeCell ref="D6:D8"/>
    <mergeCell ref="E6:E8"/>
    <mergeCell ref="G6:G8"/>
    <mergeCell ref="H6:H8"/>
    <mergeCell ref="P6:P8"/>
    <mergeCell ref="O5:O8"/>
    <mergeCell ref="P5:Q5"/>
    <mergeCell ref="G5:H5"/>
    <mergeCell ref="M6:M8"/>
    <mergeCell ref="N6:N8"/>
    <mergeCell ref="M4:N4"/>
    <mergeCell ref="M5:N5"/>
    <mergeCell ref="L5:L8"/>
    <mergeCell ref="J6:J8"/>
    <mergeCell ref="K6:K8"/>
    <mergeCell ref="I4:K4"/>
    <mergeCell ref="J5:K5"/>
    <mergeCell ref="I5:I8"/>
  </mergeCells>
  <pageMargins left="0.31496062992125984" right="0.31496062992125984" top="0.47244094488188981" bottom="0.35433070866141736" header="0.31496062992125984" footer="0.31496062992125984"/>
  <pageSetup paperSize="9" scale="60" firstPageNumber="123" orientation="landscape" useFirstPageNumber="1" verticalDpi="0" r:id="rId1"/>
  <headerFooter>
    <oddHeader>&amp;RBiểu 5.33</oddHeader>
    <oddFooter>Page &amp;P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R23"/>
  <sheetViews>
    <sheetView workbookViewId="0">
      <selection activeCell="C16" sqref="C16"/>
    </sheetView>
  </sheetViews>
  <sheetFormatPr defaultColWidth="9.140625" defaultRowHeight="15" x14ac:dyDescent="0.25"/>
  <cols>
    <col min="1" max="1" width="5.5703125" style="1" customWidth="1"/>
    <col min="2" max="2" width="30.140625" style="1" customWidth="1"/>
    <col min="3" max="3" width="44.85546875" style="1" customWidth="1"/>
    <col min="4" max="4" width="21.140625" style="1" customWidth="1"/>
    <col min="5" max="5" width="23.5703125" style="1" customWidth="1"/>
    <col min="6" max="6" width="19.42578125" style="1" customWidth="1"/>
    <col min="7" max="7" width="12.28515625" style="1" customWidth="1"/>
    <col min="8" max="8" width="20.7109375" style="1" customWidth="1"/>
    <col min="9" max="9" width="20.28515625" style="1" customWidth="1"/>
    <col min="10" max="10" width="17.5703125" style="1" customWidth="1"/>
    <col min="11" max="11" width="19.28515625" style="1" customWidth="1"/>
    <col min="12" max="12" width="15.7109375" style="1" customWidth="1"/>
    <col min="13" max="13" width="15.140625" style="1" customWidth="1"/>
    <col min="14" max="14" width="15.28515625" style="1" customWidth="1"/>
    <col min="15" max="15" width="15" style="1" customWidth="1"/>
    <col min="16" max="16" width="13.85546875" style="1" customWidth="1"/>
    <col min="17" max="17" width="19" style="1" customWidth="1"/>
    <col min="18" max="18" width="17.140625" style="1" customWidth="1"/>
    <col min="19" max="16384" width="9.140625" style="1"/>
  </cols>
  <sheetData>
    <row r="1" spans="1:18" ht="16.5" customHeight="1" x14ac:dyDescent="0.25">
      <c r="A1" s="3454" t="s">
        <v>855</v>
      </c>
      <c r="B1" s="3454"/>
      <c r="C1" s="3454"/>
      <c r="D1" s="3454"/>
      <c r="E1" s="3454"/>
      <c r="F1" s="3454"/>
      <c r="G1" s="3454"/>
    </row>
    <row r="2" spans="1:18" ht="15" customHeight="1" x14ac:dyDescent="0.25">
      <c r="D2" s="581"/>
      <c r="E2" s="581"/>
      <c r="F2" s="3455" t="s">
        <v>895</v>
      </c>
      <c r="G2" s="3455"/>
    </row>
    <row r="3" spans="1:18" ht="27.75" customHeight="1" x14ac:dyDescent="0.25">
      <c r="A3" s="525" t="s">
        <v>0</v>
      </c>
      <c r="B3" s="730" t="s">
        <v>856</v>
      </c>
      <c r="C3" s="525" t="s">
        <v>1</v>
      </c>
      <c r="D3" s="524" t="s">
        <v>493</v>
      </c>
      <c r="E3" s="524" t="s">
        <v>857</v>
      </c>
      <c r="F3" s="524" t="s">
        <v>858</v>
      </c>
      <c r="G3" s="525" t="s">
        <v>801</v>
      </c>
      <c r="H3" s="536"/>
      <c r="I3" s="581"/>
      <c r="J3" s="735"/>
      <c r="K3" s="736"/>
    </row>
    <row r="4" spans="1:18" ht="27.75" customHeight="1" x14ac:dyDescent="0.25">
      <c r="A4" s="525"/>
      <c r="B4" s="3458" t="s">
        <v>586</v>
      </c>
      <c r="C4" s="3458"/>
      <c r="D4" s="732">
        <f>SUM(D5:D23)</f>
        <v>77642.136377000003</v>
      </c>
      <c r="E4" s="732">
        <f t="shared" ref="E4" si="0">SUM(E5:E23)</f>
        <v>84482.005377000009</v>
      </c>
      <c r="F4" s="731">
        <f>SUM(F5:F23)</f>
        <v>18805.164762</v>
      </c>
      <c r="G4" s="731">
        <f t="shared" ref="G4" si="1">SUM(G5:G23)</f>
        <v>0</v>
      </c>
      <c r="H4" s="731"/>
      <c r="I4" s="781"/>
      <c r="J4" s="733"/>
      <c r="K4" s="734"/>
    </row>
    <row r="5" spans="1:18" ht="30.75" customHeight="1" x14ac:dyDescent="0.25">
      <c r="A5" s="737"/>
      <c r="B5" s="738" t="s">
        <v>859</v>
      </c>
      <c r="C5" s="737" t="s">
        <v>860</v>
      </c>
      <c r="D5" s="739">
        <v>38115</v>
      </c>
      <c r="E5" s="740">
        <v>38115</v>
      </c>
      <c r="F5" s="741"/>
      <c r="G5" s="742"/>
      <c r="H5" s="743"/>
      <c r="I5" s="744"/>
      <c r="J5" s="449"/>
      <c r="K5" s="449"/>
      <c r="L5" s="449"/>
      <c r="M5" s="449"/>
      <c r="N5" s="449"/>
      <c r="O5" s="745"/>
      <c r="P5" s="449"/>
      <c r="Q5" s="449"/>
    </row>
    <row r="6" spans="1:18" ht="33.75" customHeight="1" x14ac:dyDescent="0.25">
      <c r="A6" s="737"/>
      <c r="B6" s="738" t="s">
        <v>861</v>
      </c>
      <c r="C6" s="760" t="s">
        <v>862</v>
      </c>
      <c r="D6" s="740">
        <f>94.6+34.736+180+2207+416.642+134.108</f>
        <v>3067.0860000000002</v>
      </c>
      <c r="E6" s="740">
        <v>3067.0859999999998</v>
      </c>
      <c r="F6" s="741"/>
      <c r="G6" s="742"/>
      <c r="H6" s="746"/>
      <c r="I6" s="746"/>
      <c r="J6" s="747"/>
      <c r="K6" s="747"/>
      <c r="L6" s="747"/>
      <c r="M6" s="747"/>
      <c r="N6" s="747"/>
      <c r="O6" s="747"/>
      <c r="P6" s="581"/>
      <c r="Q6" s="581"/>
      <c r="R6" s="581"/>
    </row>
    <row r="7" spans="1:18" s="449" customFormat="1" ht="31.5" customHeight="1" x14ac:dyDescent="0.25">
      <c r="A7" s="737"/>
      <c r="B7" s="738" t="s">
        <v>863</v>
      </c>
      <c r="C7" s="760" t="s">
        <v>841</v>
      </c>
      <c r="D7" s="740">
        <v>141.83199999999999</v>
      </c>
      <c r="E7" s="740">
        <v>141.83199999999999</v>
      </c>
      <c r="F7" s="741"/>
      <c r="G7" s="742"/>
      <c r="H7" s="748"/>
      <c r="I7" s="512"/>
      <c r="J7" s="512"/>
      <c r="K7" s="512"/>
      <c r="L7" s="512"/>
      <c r="M7" s="512"/>
      <c r="N7" s="512"/>
      <c r="O7" s="512"/>
      <c r="P7" s="512"/>
      <c r="Q7" s="512"/>
      <c r="R7" s="512"/>
    </row>
    <row r="8" spans="1:18" ht="28.5" customHeight="1" x14ac:dyDescent="0.25">
      <c r="A8" s="737"/>
      <c r="B8" s="738" t="s">
        <v>864</v>
      </c>
      <c r="C8" s="750" t="s">
        <v>866</v>
      </c>
      <c r="D8" s="740"/>
      <c r="E8" s="740"/>
      <c r="F8" s="749">
        <v>10068.767761999999</v>
      </c>
      <c r="G8" s="742"/>
      <c r="I8" s="761"/>
      <c r="J8" s="512"/>
      <c r="K8" s="512"/>
      <c r="L8" s="512"/>
      <c r="M8" s="512"/>
      <c r="N8" s="512"/>
      <c r="O8" s="512"/>
      <c r="P8" s="581"/>
      <c r="Q8" s="581"/>
      <c r="R8" s="581"/>
    </row>
    <row r="9" spans="1:18" ht="29.25" customHeight="1" x14ac:dyDescent="0.25">
      <c r="A9" s="737"/>
      <c r="B9" s="738" t="s">
        <v>865</v>
      </c>
      <c r="C9" s="750" t="s">
        <v>867</v>
      </c>
      <c r="D9" s="740">
        <v>900</v>
      </c>
      <c r="E9" s="3457">
        <v>1400</v>
      </c>
      <c r="F9" s="741"/>
      <c r="G9" s="742"/>
      <c r="I9" s="748"/>
      <c r="J9" s="513"/>
      <c r="K9" s="513"/>
      <c r="L9" s="513"/>
      <c r="M9" s="513"/>
      <c r="N9" s="513"/>
      <c r="O9" s="513"/>
      <c r="P9" s="513"/>
      <c r="Q9" s="513"/>
      <c r="R9" s="512"/>
    </row>
    <row r="10" spans="1:18" ht="26.25" customHeight="1" x14ac:dyDescent="0.25">
      <c r="A10" s="737"/>
      <c r="B10" s="738" t="s">
        <v>868</v>
      </c>
      <c r="C10" s="750" t="s">
        <v>869</v>
      </c>
      <c r="D10" s="740">
        <v>500</v>
      </c>
      <c r="E10" s="3457"/>
      <c r="F10" s="741"/>
      <c r="G10" s="742"/>
      <c r="H10" s="751"/>
      <c r="I10" s="512"/>
      <c r="J10" s="512"/>
      <c r="K10" s="512"/>
      <c r="L10" s="512"/>
      <c r="M10" s="512"/>
      <c r="N10" s="512"/>
      <c r="O10" s="512"/>
    </row>
    <row r="11" spans="1:18" s="449" customFormat="1" ht="27.75" customHeight="1" x14ac:dyDescent="0.25">
      <c r="A11" s="737"/>
      <c r="B11" s="3456" t="s">
        <v>870</v>
      </c>
      <c r="C11" s="750" t="s">
        <v>871</v>
      </c>
      <c r="D11" s="752">
        <v>-2694</v>
      </c>
      <c r="E11" s="740"/>
      <c r="F11" s="753">
        <v>6446.982</v>
      </c>
      <c r="G11" s="742"/>
      <c r="H11" s="754"/>
      <c r="I11" s="764"/>
    </row>
    <row r="12" spans="1:18" s="449" customFormat="1" ht="21.75" customHeight="1" x14ac:dyDescent="0.25">
      <c r="A12" s="737"/>
      <c r="B12" s="3456"/>
      <c r="C12" s="750" t="s">
        <v>872</v>
      </c>
      <c r="D12" s="752">
        <v>-1293.4000000000001</v>
      </c>
      <c r="E12" s="740"/>
      <c r="F12" s="753">
        <v>2237.5749999999998</v>
      </c>
      <c r="G12" s="755"/>
      <c r="H12" s="756"/>
      <c r="I12" s="757"/>
    </row>
    <row r="13" spans="1:18" s="449" customFormat="1" ht="27" customHeight="1" x14ac:dyDescent="0.25">
      <c r="A13" s="737"/>
      <c r="B13" s="738" t="s">
        <v>873</v>
      </c>
      <c r="C13" s="758" t="s">
        <v>874</v>
      </c>
      <c r="D13" s="740">
        <v>1402.96</v>
      </c>
      <c r="E13" s="740">
        <v>1402.96</v>
      </c>
      <c r="F13" s="741"/>
      <c r="G13" s="742"/>
      <c r="I13" s="759"/>
    </row>
    <row r="14" spans="1:18" ht="32.25" customHeight="1" x14ac:dyDescent="0.25">
      <c r="A14" s="737"/>
      <c r="B14" s="738" t="s">
        <v>875</v>
      </c>
      <c r="C14" s="760" t="s">
        <v>876</v>
      </c>
      <c r="D14" s="740">
        <f>2401.751+7500</f>
        <v>9901.7510000000002</v>
      </c>
      <c r="E14" s="740">
        <v>9901.7510000000002</v>
      </c>
      <c r="F14" s="737"/>
      <c r="G14" s="737"/>
    </row>
    <row r="15" spans="1:18" ht="30" x14ac:dyDescent="0.25">
      <c r="A15" s="737"/>
      <c r="B15" s="738" t="s">
        <v>877</v>
      </c>
      <c r="C15" s="737" t="s">
        <v>878</v>
      </c>
      <c r="D15" s="752">
        <v>-1438.925</v>
      </c>
      <c r="E15" s="740"/>
      <c r="F15" s="762">
        <f>51.84</f>
        <v>51.84</v>
      </c>
      <c r="G15" s="737"/>
    </row>
    <row r="16" spans="1:18" ht="30" x14ac:dyDescent="0.25">
      <c r="A16" s="737"/>
      <c r="B16" s="738" t="s">
        <v>879</v>
      </c>
      <c r="C16" s="737" t="s">
        <v>891</v>
      </c>
      <c r="D16" s="763">
        <v>41.9345</v>
      </c>
      <c r="E16" s="740">
        <v>41.9345</v>
      </c>
      <c r="F16" s="737"/>
      <c r="G16" s="737"/>
    </row>
    <row r="17" spans="1:9" ht="30" x14ac:dyDescent="0.25">
      <c r="A17" s="737"/>
      <c r="B17" s="738" t="s">
        <v>880</v>
      </c>
      <c r="C17" s="737" t="s">
        <v>881</v>
      </c>
      <c r="D17" s="740">
        <f>2820.027+55.239+11279</f>
        <v>14154.266</v>
      </c>
      <c r="E17" s="740">
        <v>14154.266</v>
      </c>
      <c r="F17" s="737"/>
      <c r="G17" s="737"/>
    </row>
    <row r="18" spans="1:9" ht="30" x14ac:dyDescent="0.25">
      <c r="A18" s="737"/>
      <c r="B18" s="738" t="s">
        <v>882</v>
      </c>
      <c r="C18" s="737" t="s">
        <v>883</v>
      </c>
      <c r="D18" s="740">
        <v>5148</v>
      </c>
      <c r="E18" s="3457">
        <v>5457.1758769999997</v>
      </c>
      <c r="F18" s="737"/>
      <c r="G18" s="737"/>
      <c r="I18" s="567"/>
    </row>
    <row r="19" spans="1:9" ht="30" x14ac:dyDescent="0.25">
      <c r="A19" s="737"/>
      <c r="B19" s="738" t="s">
        <v>884</v>
      </c>
      <c r="C19" s="250" t="s">
        <v>885</v>
      </c>
      <c r="D19" s="740">
        <v>309.17587700000001</v>
      </c>
      <c r="E19" s="3457"/>
      <c r="F19" s="737"/>
      <c r="G19" s="737"/>
    </row>
    <row r="20" spans="1:9" ht="30" x14ac:dyDescent="0.25">
      <c r="A20" s="737"/>
      <c r="B20" s="738" t="s">
        <v>886</v>
      </c>
      <c r="C20" s="737" t="s">
        <v>892</v>
      </c>
      <c r="D20" s="752">
        <v>-818.21</v>
      </c>
      <c r="E20" s="763"/>
      <c r="F20" s="737"/>
      <c r="G20" s="737"/>
    </row>
    <row r="21" spans="1:9" ht="30" customHeight="1" x14ac:dyDescent="0.25">
      <c r="A21" s="737"/>
      <c r="B21" s="758" t="s">
        <v>887</v>
      </c>
      <c r="C21" s="737" t="s">
        <v>888</v>
      </c>
      <c r="D21" s="740">
        <v>7000</v>
      </c>
      <c r="E21" s="3457">
        <v>10800</v>
      </c>
      <c r="F21" s="737"/>
      <c r="G21" s="737"/>
    </row>
    <row r="22" spans="1:9" ht="27.75" customHeight="1" x14ac:dyDescent="0.25">
      <c r="A22" s="737"/>
      <c r="B22" s="758" t="s">
        <v>890</v>
      </c>
      <c r="C22" s="737" t="s">
        <v>889</v>
      </c>
      <c r="D22" s="740">
        <v>3800</v>
      </c>
      <c r="E22" s="3457"/>
      <c r="F22" s="737"/>
      <c r="G22" s="737"/>
    </row>
    <row r="23" spans="1:9" ht="29.25" customHeight="1" x14ac:dyDescent="0.25">
      <c r="A23" s="737"/>
      <c r="B23" s="758" t="s">
        <v>893</v>
      </c>
      <c r="C23" s="737" t="s">
        <v>894</v>
      </c>
      <c r="D23" s="763">
        <v>-595.33399999999995</v>
      </c>
      <c r="E23" s="763"/>
      <c r="F23" s="737"/>
      <c r="G23" s="737"/>
    </row>
  </sheetData>
  <mergeCells count="7">
    <mergeCell ref="A1:G1"/>
    <mergeCell ref="F2:G2"/>
    <mergeCell ref="B11:B12"/>
    <mergeCell ref="E21:E22"/>
    <mergeCell ref="E9:E10"/>
    <mergeCell ref="E18:E19"/>
    <mergeCell ref="B4:C4"/>
  </mergeCells>
  <phoneticPr fontId="70" type="noConversion"/>
  <pageMargins left="0.31496062992125984" right="0.31496062992125984" top="0.35433070866141736" bottom="0.35433070866141736" header="0.31496062992125984" footer="0.31496062992125984"/>
  <pageSetup paperSize="9" scale="90" orientation="landscape" verticalDpi="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N11"/>
  <sheetViews>
    <sheetView view="pageLayout" zoomScaleNormal="100" workbookViewId="0">
      <selection activeCell="C9" sqref="C9"/>
    </sheetView>
  </sheetViews>
  <sheetFormatPr defaultRowHeight="15" x14ac:dyDescent="0.25"/>
  <cols>
    <col min="1" max="1" width="5" customWidth="1"/>
    <col min="2" max="2" width="31" style="93" customWidth="1"/>
    <col min="3" max="3" width="36" customWidth="1"/>
    <col min="4" max="4" width="9.85546875" style="39" customWidth="1"/>
    <col min="5" max="5" width="13.5703125" customWidth="1"/>
    <col min="6" max="6" width="12.5703125" customWidth="1"/>
    <col min="7" max="7" width="14.140625" customWidth="1"/>
    <col min="8" max="8" width="11.5703125" customWidth="1"/>
    <col min="10" max="10" width="11.140625" bestFit="1" customWidth="1"/>
    <col min="257" max="257" width="5" customWidth="1"/>
    <col min="258" max="258" width="31" customWidth="1"/>
    <col min="259" max="259" width="36" customWidth="1"/>
    <col min="260" max="260" width="9.85546875" customWidth="1"/>
    <col min="261" max="261" width="13.5703125" customWidth="1"/>
    <col min="262" max="262" width="12.5703125" customWidth="1"/>
    <col min="263" max="263" width="14.140625" customWidth="1"/>
    <col min="264" max="264" width="11.5703125" customWidth="1"/>
    <col min="266" max="266" width="11.140625" bestFit="1" customWidth="1"/>
    <col min="513" max="513" width="5" customWidth="1"/>
    <col min="514" max="514" width="31" customWidth="1"/>
    <col min="515" max="515" width="36" customWidth="1"/>
    <col min="516" max="516" width="9.85546875" customWidth="1"/>
    <col min="517" max="517" width="13.5703125" customWidth="1"/>
    <col min="518" max="518" width="12.5703125" customWidth="1"/>
    <col min="519" max="519" width="14.140625" customWidth="1"/>
    <col min="520" max="520" width="11.5703125" customWidth="1"/>
    <col min="522" max="522" width="11.140625" bestFit="1" customWidth="1"/>
    <col min="769" max="769" width="5" customWidth="1"/>
    <col min="770" max="770" width="31" customWidth="1"/>
    <col min="771" max="771" width="36" customWidth="1"/>
    <col min="772" max="772" width="9.85546875" customWidth="1"/>
    <col min="773" max="773" width="13.5703125" customWidth="1"/>
    <col min="774" max="774" width="12.5703125" customWidth="1"/>
    <col min="775" max="775" width="14.140625" customWidth="1"/>
    <col min="776" max="776" width="11.5703125" customWidth="1"/>
    <col min="778" max="778" width="11.140625" bestFit="1" customWidth="1"/>
    <col min="1025" max="1025" width="5" customWidth="1"/>
    <col min="1026" max="1026" width="31" customWidth="1"/>
    <col min="1027" max="1027" width="36" customWidth="1"/>
    <col min="1028" max="1028" width="9.85546875" customWidth="1"/>
    <col min="1029" max="1029" width="13.5703125" customWidth="1"/>
    <col min="1030" max="1030" width="12.5703125" customWidth="1"/>
    <col min="1031" max="1031" width="14.140625" customWidth="1"/>
    <col min="1032" max="1032" width="11.5703125" customWidth="1"/>
    <col min="1034" max="1034" width="11.140625" bestFit="1" customWidth="1"/>
    <col min="1281" max="1281" width="5" customWidth="1"/>
    <col min="1282" max="1282" width="31" customWidth="1"/>
    <col min="1283" max="1283" width="36" customWidth="1"/>
    <col min="1284" max="1284" width="9.85546875" customWidth="1"/>
    <col min="1285" max="1285" width="13.5703125" customWidth="1"/>
    <col min="1286" max="1286" width="12.5703125" customWidth="1"/>
    <col min="1287" max="1287" width="14.140625" customWidth="1"/>
    <col min="1288" max="1288" width="11.5703125" customWidth="1"/>
    <col min="1290" max="1290" width="11.140625" bestFit="1" customWidth="1"/>
    <col min="1537" max="1537" width="5" customWidth="1"/>
    <col min="1538" max="1538" width="31" customWidth="1"/>
    <col min="1539" max="1539" width="36" customWidth="1"/>
    <col min="1540" max="1540" width="9.85546875" customWidth="1"/>
    <col min="1541" max="1541" width="13.5703125" customWidth="1"/>
    <col min="1542" max="1542" width="12.5703125" customWidth="1"/>
    <col min="1543" max="1543" width="14.140625" customWidth="1"/>
    <col min="1544" max="1544" width="11.5703125" customWidth="1"/>
    <col min="1546" max="1546" width="11.140625" bestFit="1" customWidth="1"/>
    <col min="1793" max="1793" width="5" customWidth="1"/>
    <col min="1794" max="1794" width="31" customWidth="1"/>
    <col min="1795" max="1795" width="36" customWidth="1"/>
    <col min="1796" max="1796" width="9.85546875" customWidth="1"/>
    <col min="1797" max="1797" width="13.5703125" customWidth="1"/>
    <col min="1798" max="1798" width="12.5703125" customWidth="1"/>
    <col min="1799" max="1799" width="14.140625" customWidth="1"/>
    <col min="1800" max="1800" width="11.5703125" customWidth="1"/>
    <col min="1802" max="1802" width="11.140625" bestFit="1" customWidth="1"/>
    <col min="2049" max="2049" width="5" customWidth="1"/>
    <col min="2050" max="2050" width="31" customWidth="1"/>
    <col min="2051" max="2051" width="36" customWidth="1"/>
    <col min="2052" max="2052" width="9.85546875" customWidth="1"/>
    <col min="2053" max="2053" width="13.5703125" customWidth="1"/>
    <col min="2054" max="2054" width="12.5703125" customWidth="1"/>
    <col min="2055" max="2055" width="14.140625" customWidth="1"/>
    <col min="2056" max="2056" width="11.5703125" customWidth="1"/>
    <col min="2058" max="2058" width="11.140625" bestFit="1" customWidth="1"/>
    <col min="2305" max="2305" width="5" customWidth="1"/>
    <col min="2306" max="2306" width="31" customWidth="1"/>
    <col min="2307" max="2307" width="36" customWidth="1"/>
    <col min="2308" max="2308" width="9.85546875" customWidth="1"/>
    <col min="2309" max="2309" width="13.5703125" customWidth="1"/>
    <col min="2310" max="2310" width="12.5703125" customWidth="1"/>
    <col min="2311" max="2311" width="14.140625" customWidth="1"/>
    <col min="2312" max="2312" width="11.5703125" customWidth="1"/>
    <col min="2314" max="2314" width="11.140625" bestFit="1" customWidth="1"/>
    <col min="2561" max="2561" width="5" customWidth="1"/>
    <col min="2562" max="2562" width="31" customWidth="1"/>
    <col min="2563" max="2563" width="36" customWidth="1"/>
    <col min="2564" max="2564" width="9.85546875" customWidth="1"/>
    <col min="2565" max="2565" width="13.5703125" customWidth="1"/>
    <col min="2566" max="2566" width="12.5703125" customWidth="1"/>
    <col min="2567" max="2567" width="14.140625" customWidth="1"/>
    <col min="2568" max="2568" width="11.5703125" customWidth="1"/>
    <col min="2570" max="2570" width="11.140625" bestFit="1" customWidth="1"/>
    <col min="2817" max="2817" width="5" customWidth="1"/>
    <col min="2818" max="2818" width="31" customWidth="1"/>
    <col min="2819" max="2819" width="36" customWidth="1"/>
    <col min="2820" max="2820" width="9.85546875" customWidth="1"/>
    <col min="2821" max="2821" width="13.5703125" customWidth="1"/>
    <col min="2822" max="2822" width="12.5703125" customWidth="1"/>
    <col min="2823" max="2823" width="14.140625" customWidth="1"/>
    <col min="2824" max="2824" width="11.5703125" customWidth="1"/>
    <col min="2826" max="2826" width="11.140625" bestFit="1" customWidth="1"/>
    <col min="3073" max="3073" width="5" customWidth="1"/>
    <col min="3074" max="3074" width="31" customWidth="1"/>
    <col min="3075" max="3075" width="36" customWidth="1"/>
    <col min="3076" max="3076" width="9.85546875" customWidth="1"/>
    <col min="3077" max="3077" width="13.5703125" customWidth="1"/>
    <col min="3078" max="3078" width="12.5703125" customWidth="1"/>
    <col min="3079" max="3079" width="14.140625" customWidth="1"/>
    <col min="3080" max="3080" width="11.5703125" customWidth="1"/>
    <col min="3082" max="3082" width="11.140625" bestFit="1" customWidth="1"/>
    <col min="3329" max="3329" width="5" customWidth="1"/>
    <col min="3330" max="3330" width="31" customWidth="1"/>
    <col min="3331" max="3331" width="36" customWidth="1"/>
    <col min="3332" max="3332" width="9.85546875" customWidth="1"/>
    <col min="3333" max="3333" width="13.5703125" customWidth="1"/>
    <col min="3334" max="3334" width="12.5703125" customWidth="1"/>
    <col min="3335" max="3335" width="14.140625" customWidth="1"/>
    <col min="3336" max="3336" width="11.5703125" customWidth="1"/>
    <col min="3338" max="3338" width="11.140625" bestFit="1" customWidth="1"/>
    <col min="3585" max="3585" width="5" customWidth="1"/>
    <col min="3586" max="3586" width="31" customWidth="1"/>
    <col min="3587" max="3587" width="36" customWidth="1"/>
    <col min="3588" max="3588" width="9.85546875" customWidth="1"/>
    <col min="3589" max="3589" width="13.5703125" customWidth="1"/>
    <col min="3590" max="3590" width="12.5703125" customWidth="1"/>
    <col min="3591" max="3591" width="14.140625" customWidth="1"/>
    <col min="3592" max="3592" width="11.5703125" customWidth="1"/>
    <col min="3594" max="3594" width="11.140625" bestFit="1" customWidth="1"/>
    <col min="3841" max="3841" width="5" customWidth="1"/>
    <col min="3842" max="3842" width="31" customWidth="1"/>
    <col min="3843" max="3843" width="36" customWidth="1"/>
    <col min="3844" max="3844" width="9.85546875" customWidth="1"/>
    <col min="3845" max="3845" width="13.5703125" customWidth="1"/>
    <col min="3846" max="3846" width="12.5703125" customWidth="1"/>
    <col min="3847" max="3847" width="14.140625" customWidth="1"/>
    <col min="3848" max="3848" width="11.5703125" customWidth="1"/>
    <col min="3850" max="3850" width="11.140625" bestFit="1" customWidth="1"/>
    <col min="4097" max="4097" width="5" customWidth="1"/>
    <col min="4098" max="4098" width="31" customWidth="1"/>
    <col min="4099" max="4099" width="36" customWidth="1"/>
    <col min="4100" max="4100" width="9.85546875" customWidth="1"/>
    <col min="4101" max="4101" width="13.5703125" customWidth="1"/>
    <col min="4102" max="4102" width="12.5703125" customWidth="1"/>
    <col min="4103" max="4103" width="14.140625" customWidth="1"/>
    <col min="4104" max="4104" width="11.5703125" customWidth="1"/>
    <col min="4106" max="4106" width="11.140625" bestFit="1" customWidth="1"/>
    <col min="4353" max="4353" width="5" customWidth="1"/>
    <col min="4354" max="4354" width="31" customWidth="1"/>
    <col min="4355" max="4355" width="36" customWidth="1"/>
    <col min="4356" max="4356" width="9.85546875" customWidth="1"/>
    <col min="4357" max="4357" width="13.5703125" customWidth="1"/>
    <col min="4358" max="4358" width="12.5703125" customWidth="1"/>
    <col min="4359" max="4359" width="14.140625" customWidth="1"/>
    <col min="4360" max="4360" width="11.5703125" customWidth="1"/>
    <col min="4362" max="4362" width="11.140625" bestFit="1" customWidth="1"/>
    <col min="4609" max="4609" width="5" customWidth="1"/>
    <col min="4610" max="4610" width="31" customWidth="1"/>
    <col min="4611" max="4611" width="36" customWidth="1"/>
    <col min="4612" max="4612" width="9.85546875" customWidth="1"/>
    <col min="4613" max="4613" width="13.5703125" customWidth="1"/>
    <col min="4614" max="4614" width="12.5703125" customWidth="1"/>
    <col min="4615" max="4615" width="14.140625" customWidth="1"/>
    <col min="4616" max="4616" width="11.5703125" customWidth="1"/>
    <col min="4618" max="4618" width="11.140625" bestFit="1" customWidth="1"/>
    <col min="4865" max="4865" width="5" customWidth="1"/>
    <col min="4866" max="4866" width="31" customWidth="1"/>
    <col min="4867" max="4867" width="36" customWidth="1"/>
    <col min="4868" max="4868" width="9.85546875" customWidth="1"/>
    <col min="4869" max="4869" width="13.5703125" customWidth="1"/>
    <col min="4870" max="4870" width="12.5703125" customWidth="1"/>
    <col min="4871" max="4871" width="14.140625" customWidth="1"/>
    <col min="4872" max="4872" width="11.5703125" customWidth="1"/>
    <col min="4874" max="4874" width="11.140625" bestFit="1" customWidth="1"/>
    <col min="5121" max="5121" width="5" customWidth="1"/>
    <col min="5122" max="5122" width="31" customWidth="1"/>
    <col min="5123" max="5123" width="36" customWidth="1"/>
    <col min="5124" max="5124" width="9.85546875" customWidth="1"/>
    <col min="5125" max="5125" width="13.5703125" customWidth="1"/>
    <col min="5126" max="5126" width="12.5703125" customWidth="1"/>
    <col min="5127" max="5127" width="14.140625" customWidth="1"/>
    <col min="5128" max="5128" width="11.5703125" customWidth="1"/>
    <col min="5130" max="5130" width="11.140625" bestFit="1" customWidth="1"/>
    <col min="5377" max="5377" width="5" customWidth="1"/>
    <col min="5378" max="5378" width="31" customWidth="1"/>
    <col min="5379" max="5379" width="36" customWidth="1"/>
    <col min="5380" max="5380" width="9.85546875" customWidth="1"/>
    <col min="5381" max="5381" width="13.5703125" customWidth="1"/>
    <col min="5382" max="5382" width="12.5703125" customWidth="1"/>
    <col min="5383" max="5383" width="14.140625" customWidth="1"/>
    <col min="5384" max="5384" width="11.5703125" customWidth="1"/>
    <col min="5386" max="5386" width="11.140625" bestFit="1" customWidth="1"/>
    <col min="5633" max="5633" width="5" customWidth="1"/>
    <col min="5634" max="5634" width="31" customWidth="1"/>
    <col min="5635" max="5635" width="36" customWidth="1"/>
    <col min="5636" max="5636" width="9.85546875" customWidth="1"/>
    <col min="5637" max="5637" width="13.5703125" customWidth="1"/>
    <col min="5638" max="5638" width="12.5703125" customWidth="1"/>
    <col min="5639" max="5639" width="14.140625" customWidth="1"/>
    <col min="5640" max="5640" width="11.5703125" customWidth="1"/>
    <col min="5642" max="5642" width="11.140625" bestFit="1" customWidth="1"/>
    <col min="5889" max="5889" width="5" customWidth="1"/>
    <col min="5890" max="5890" width="31" customWidth="1"/>
    <col min="5891" max="5891" width="36" customWidth="1"/>
    <col min="5892" max="5892" width="9.85546875" customWidth="1"/>
    <col min="5893" max="5893" width="13.5703125" customWidth="1"/>
    <col min="5894" max="5894" width="12.5703125" customWidth="1"/>
    <col min="5895" max="5895" width="14.140625" customWidth="1"/>
    <col min="5896" max="5896" width="11.5703125" customWidth="1"/>
    <col min="5898" max="5898" width="11.140625" bestFit="1" customWidth="1"/>
    <col min="6145" max="6145" width="5" customWidth="1"/>
    <col min="6146" max="6146" width="31" customWidth="1"/>
    <col min="6147" max="6147" width="36" customWidth="1"/>
    <col min="6148" max="6148" width="9.85546875" customWidth="1"/>
    <col min="6149" max="6149" width="13.5703125" customWidth="1"/>
    <col min="6150" max="6150" width="12.5703125" customWidth="1"/>
    <col min="6151" max="6151" width="14.140625" customWidth="1"/>
    <col min="6152" max="6152" width="11.5703125" customWidth="1"/>
    <col min="6154" max="6154" width="11.140625" bestFit="1" customWidth="1"/>
    <col min="6401" max="6401" width="5" customWidth="1"/>
    <col min="6402" max="6402" width="31" customWidth="1"/>
    <col min="6403" max="6403" width="36" customWidth="1"/>
    <col min="6404" max="6404" width="9.85546875" customWidth="1"/>
    <col min="6405" max="6405" width="13.5703125" customWidth="1"/>
    <col min="6406" max="6406" width="12.5703125" customWidth="1"/>
    <col min="6407" max="6407" width="14.140625" customWidth="1"/>
    <col min="6408" max="6408" width="11.5703125" customWidth="1"/>
    <col min="6410" max="6410" width="11.140625" bestFit="1" customWidth="1"/>
    <col min="6657" max="6657" width="5" customWidth="1"/>
    <col min="6658" max="6658" width="31" customWidth="1"/>
    <col min="6659" max="6659" width="36" customWidth="1"/>
    <col min="6660" max="6660" width="9.85546875" customWidth="1"/>
    <col min="6661" max="6661" width="13.5703125" customWidth="1"/>
    <col min="6662" max="6662" width="12.5703125" customWidth="1"/>
    <col min="6663" max="6663" width="14.140625" customWidth="1"/>
    <col min="6664" max="6664" width="11.5703125" customWidth="1"/>
    <col min="6666" max="6666" width="11.140625" bestFit="1" customWidth="1"/>
    <col min="6913" max="6913" width="5" customWidth="1"/>
    <col min="6914" max="6914" width="31" customWidth="1"/>
    <col min="6915" max="6915" width="36" customWidth="1"/>
    <col min="6916" max="6916" width="9.85546875" customWidth="1"/>
    <col min="6917" max="6917" width="13.5703125" customWidth="1"/>
    <col min="6918" max="6918" width="12.5703125" customWidth="1"/>
    <col min="6919" max="6919" width="14.140625" customWidth="1"/>
    <col min="6920" max="6920" width="11.5703125" customWidth="1"/>
    <col min="6922" max="6922" width="11.140625" bestFit="1" customWidth="1"/>
    <col min="7169" max="7169" width="5" customWidth="1"/>
    <col min="7170" max="7170" width="31" customWidth="1"/>
    <col min="7171" max="7171" width="36" customWidth="1"/>
    <col min="7172" max="7172" width="9.85546875" customWidth="1"/>
    <col min="7173" max="7173" width="13.5703125" customWidth="1"/>
    <col min="7174" max="7174" width="12.5703125" customWidth="1"/>
    <col min="7175" max="7175" width="14.140625" customWidth="1"/>
    <col min="7176" max="7176" width="11.5703125" customWidth="1"/>
    <col min="7178" max="7178" width="11.140625" bestFit="1" customWidth="1"/>
    <col min="7425" max="7425" width="5" customWidth="1"/>
    <col min="7426" max="7426" width="31" customWidth="1"/>
    <col min="7427" max="7427" width="36" customWidth="1"/>
    <col min="7428" max="7428" width="9.85546875" customWidth="1"/>
    <col min="7429" max="7429" width="13.5703125" customWidth="1"/>
    <col min="7430" max="7430" width="12.5703125" customWidth="1"/>
    <col min="7431" max="7431" width="14.140625" customWidth="1"/>
    <col min="7432" max="7432" width="11.5703125" customWidth="1"/>
    <col min="7434" max="7434" width="11.140625" bestFit="1" customWidth="1"/>
    <col min="7681" max="7681" width="5" customWidth="1"/>
    <col min="7682" max="7682" width="31" customWidth="1"/>
    <col min="7683" max="7683" width="36" customWidth="1"/>
    <col min="7684" max="7684" width="9.85546875" customWidth="1"/>
    <col min="7685" max="7685" width="13.5703125" customWidth="1"/>
    <col min="7686" max="7686" width="12.5703125" customWidth="1"/>
    <col min="7687" max="7687" width="14.140625" customWidth="1"/>
    <col min="7688" max="7688" width="11.5703125" customWidth="1"/>
    <col min="7690" max="7690" width="11.140625" bestFit="1" customWidth="1"/>
    <col min="7937" max="7937" width="5" customWidth="1"/>
    <col min="7938" max="7938" width="31" customWidth="1"/>
    <col min="7939" max="7939" width="36" customWidth="1"/>
    <col min="7940" max="7940" width="9.85546875" customWidth="1"/>
    <col min="7941" max="7941" width="13.5703125" customWidth="1"/>
    <col min="7942" max="7942" width="12.5703125" customWidth="1"/>
    <col min="7943" max="7943" width="14.140625" customWidth="1"/>
    <col min="7944" max="7944" width="11.5703125" customWidth="1"/>
    <col min="7946" max="7946" width="11.140625" bestFit="1" customWidth="1"/>
    <col min="8193" max="8193" width="5" customWidth="1"/>
    <col min="8194" max="8194" width="31" customWidth="1"/>
    <col min="8195" max="8195" width="36" customWidth="1"/>
    <col min="8196" max="8196" width="9.85546875" customWidth="1"/>
    <col min="8197" max="8197" width="13.5703125" customWidth="1"/>
    <col min="8198" max="8198" width="12.5703125" customWidth="1"/>
    <col min="8199" max="8199" width="14.140625" customWidth="1"/>
    <col min="8200" max="8200" width="11.5703125" customWidth="1"/>
    <col min="8202" max="8202" width="11.140625" bestFit="1" customWidth="1"/>
    <col min="8449" max="8449" width="5" customWidth="1"/>
    <col min="8450" max="8450" width="31" customWidth="1"/>
    <col min="8451" max="8451" width="36" customWidth="1"/>
    <col min="8452" max="8452" width="9.85546875" customWidth="1"/>
    <col min="8453" max="8453" width="13.5703125" customWidth="1"/>
    <col min="8454" max="8454" width="12.5703125" customWidth="1"/>
    <col min="8455" max="8455" width="14.140625" customWidth="1"/>
    <col min="8456" max="8456" width="11.5703125" customWidth="1"/>
    <col min="8458" max="8458" width="11.140625" bestFit="1" customWidth="1"/>
    <col min="8705" max="8705" width="5" customWidth="1"/>
    <col min="8706" max="8706" width="31" customWidth="1"/>
    <col min="8707" max="8707" width="36" customWidth="1"/>
    <col min="8708" max="8708" width="9.85546875" customWidth="1"/>
    <col min="8709" max="8709" width="13.5703125" customWidth="1"/>
    <col min="8710" max="8710" width="12.5703125" customWidth="1"/>
    <col min="8711" max="8711" width="14.140625" customWidth="1"/>
    <col min="8712" max="8712" width="11.5703125" customWidth="1"/>
    <col min="8714" max="8714" width="11.140625" bestFit="1" customWidth="1"/>
    <col min="8961" max="8961" width="5" customWidth="1"/>
    <col min="8962" max="8962" width="31" customWidth="1"/>
    <col min="8963" max="8963" width="36" customWidth="1"/>
    <col min="8964" max="8964" width="9.85546875" customWidth="1"/>
    <col min="8965" max="8965" width="13.5703125" customWidth="1"/>
    <col min="8966" max="8966" width="12.5703125" customWidth="1"/>
    <col min="8967" max="8967" width="14.140625" customWidth="1"/>
    <col min="8968" max="8968" width="11.5703125" customWidth="1"/>
    <col min="8970" max="8970" width="11.140625" bestFit="1" customWidth="1"/>
    <col min="9217" max="9217" width="5" customWidth="1"/>
    <col min="9218" max="9218" width="31" customWidth="1"/>
    <col min="9219" max="9219" width="36" customWidth="1"/>
    <col min="9220" max="9220" width="9.85546875" customWidth="1"/>
    <col min="9221" max="9221" width="13.5703125" customWidth="1"/>
    <col min="9222" max="9222" width="12.5703125" customWidth="1"/>
    <col min="9223" max="9223" width="14.140625" customWidth="1"/>
    <col min="9224" max="9224" width="11.5703125" customWidth="1"/>
    <col min="9226" max="9226" width="11.140625" bestFit="1" customWidth="1"/>
    <col min="9473" max="9473" width="5" customWidth="1"/>
    <col min="9474" max="9474" width="31" customWidth="1"/>
    <col min="9475" max="9475" width="36" customWidth="1"/>
    <col min="9476" max="9476" width="9.85546875" customWidth="1"/>
    <col min="9477" max="9477" width="13.5703125" customWidth="1"/>
    <col min="9478" max="9478" width="12.5703125" customWidth="1"/>
    <col min="9479" max="9479" width="14.140625" customWidth="1"/>
    <col min="9480" max="9480" width="11.5703125" customWidth="1"/>
    <col min="9482" max="9482" width="11.140625" bestFit="1" customWidth="1"/>
    <col min="9729" max="9729" width="5" customWidth="1"/>
    <col min="9730" max="9730" width="31" customWidth="1"/>
    <col min="9731" max="9731" width="36" customWidth="1"/>
    <col min="9732" max="9732" width="9.85546875" customWidth="1"/>
    <col min="9733" max="9733" width="13.5703125" customWidth="1"/>
    <col min="9734" max="9734" width="12.5703125" customWidth="1"/>
    <col min="9735" max="9735" width="14.140625" customWidth="1"/>
    <col min="9736" max="9736" width="11.5703125" customWidth="1"/>
    <col min="9738" max="9738" width="11.140625" bestFit="1" customWidth="1"/>
    <col min="9985" max="9985" width="5" customWidth="1"/>
    <col min="9986" max="9986" width="31" customWidth="1"/>
    <col min="9987" max="9987" width="36" customWidth="1"/>
    <col min="9988" max="9988" width="9.85546875" customWidth="1"/>
    <col min="9989" max="9989" width="13.5703125" customWidth="1"/>
    <col min="9990" max="9990" width="12.5703125" customWidth="1"/>
    <col min="9991" max="9991" width="14.140625" customWidth="1"/>
    <col min="9992" max="9992" width="11.5703125" customWidth="1"/>
    <col min="9994" max="9994" width="11.140625" bestFit="1" customWidth="1"/>
    <col min="10241" max="10241" width="5" customWidth="1"/>
    <col min="10242" max="10242" width="31" customWidth="1"/>
    <col min="10243" max="10243" width="36" customWidth="1"/>
    <col min="10244" max="10244" width="9.85546875" customWidth="1"/>
    <col min="10245" max="10245" width="13.5703125" customWidth="1"/>
    <col min="10246" max="10246" width="12.5703125" customWidth="1"/>
    <col min="10247" max="10247" width="14.140625" customWidth="1"/>
    <col min="10248" max="10248" width="11.5703125" customWidth="1"/>
    <col min="10250" max="10250" width="11.140625" bestFit="1" customWidth="1"/>
    <col min="10497" max="10497" width="5" customWidth="1"/>
    <col min="10498" max="10498" width="31" customWidth="1"/>
    <col min="10499" max="10499" width="36" customWidth="1"/>
    <col min="10500" max="10500" width="9.85546875" customWidth="1"/>
    <col min="10501" max="10501" width="13.5703125" customWidth="1"/>
    <col min="10502" max="10502" width="12.5703125" customWidth="1"/>
    <col min="10503" max="10503" width="14.140625" customWidth="1"/>
    <col min="10504" max="10504" width="11.5703125" customWidth="1"/>
    <col min="10506" max="10506" width="11.140625" bestFit="1" customWidth="1"/>
    <col min="10753" max="10753" width="5" customWidth="1"/>
    <col min="10754" max="10754" width="31" customWidth="1"/>
    <col min="10755" max="10755" width="36" customWidth="1"/>
    <col min="10756" max="10756" width="9.85546875" customWidth="1"/>
    <col min="10757" max="10757" width="13.5703125" customWidth="1"/>
    <col min="10758" max="10758" width="12.5703125" customWidth="1"/>
    <col min="10759" max="10759" width="14.140625" customWidth="1"/>
    <col min="10760" max="10760" width="11.5703125" customWidth="1"/>
    <col min="10762" max="10762" width="11.140625" bestFit="1" customWidth="1"/>
    <col min="11009" max="11009" width="5" customWidth="1"/>
    <col min="11010" max="11010" width="31" customWidth="1"/>
    <col min="11011" max="11011" width="36" customWidth="1"/>
    <col min="11012" max="11012" width="9.85546875" customWidth="1"/>
    <col min="11013" max="11013" width="13.5703125" customWidth="1"/>
    <col min="11014" max="11014" width="12.5703125" customWidth="1"/>
    <col min="11015" max="11015" width="14.140625" customWidth="1"/>
    <col min="11016" max="11016" width="11.5703125" customWidth="1"/>
    <col min="11018" max="11018" width="11.140625" bestFit="1" customWidth="1"/>
    <col min="11265" max="11265" width="5" customWidth="1"/>
    <col min="11266" max="11266" width="31" customWidth="1"/>
    <col min="11267" max="11267" width="36" customWidth="1"/>
    <col min="11268" max="11268" width="9.85546875" customWidth="1"/>
    <col min="11269" max="11269" width="13.5703125" customWidth="1"/>
    <col min="11270" max="11270" width="12.5703125" customWidth="1"/>
    <col min="11271" max="11271" width="14.140625" customWidth="1"/>
    <col min="11272" max="11272" width="11.5703125" customWidth="1"/>
    <col min="11274" max="11274" width="11.140625" bestFit="1" customWidth="1"/>
    <col min="11521" max="11521" width="5" customWidth="1"/>
    <col min="11522" max="11522" width="31" customWidth="1"/>
    <col min="11523" max="11523" width="36" customWidth="1"/>
    <col min="11524" max="11524" width="9.85546875" customWidth="1"/>
    <col min="11525" max="11525" width="13.5703125" customWidth="1"/>
    <col min="11526" max="11526" width="12.5703125" customWidth="1"/>
    <col min="11527" max="11527" width="14.140625" customWidth="1"/>
    <col min="11528" max="11528" width="11.5703125" customWidth="1"/>
    <col min="11530" max="11530" width="11.140625" bestFit="1" customWidth="1"/>
    <col min="11777" max="11777" width="5" customWidth="1"/>
    <col min="11778" max="11778" width="31" customWidth="1"/>
    <col min="11779" max="11779" width="36" customWidth="1"/>
    <col min="11780" max="11780" width="9.85546875" customWidth="1"/>
    <col min="11781" max="11781" width="13.5703125" customWidth="1"/>
    <col min="11782" max="11782" width="12.5703125" customWidth="1"/>
    <col min="11783" max="11783" width="14.140625" customWidth="1"/>
    <col min="11784" max="11784" width="11.5703125" customWidth="1"/>
    <col min="11786" max="11786" width="11.140625" bestFit="1" customWidth="1"/>
    <col min="12033" max="12033" width="5" customWidth="1"/>
    <col min="12034" max="12034" width="31" customWidth="1"/>
    <col min="12035" max="12035" width="36" customWidth="1"/>
    <col min="12036" max="12036" width="9.85546875" customWidth="1"/>
    <col min="12037" max="12037" width="13.5703125" customWidth="1"/>
    <col min="12038" max="12038" width="12.5703125" customWidth="1"/>
    <col min="12039" max="12039" width="14.140625" customWidth="1"/>
    <col min="12040" max="12040" width="11.5703125" customWidth="1"/>
    <col min="12042" max="12042" width="11.140625" bestFit="1" customWidth="1"/>
    <col min="12289" max="12289" width="5" customWidth="1"/>
    <col min="12290" max="12290" width="31" customWidth="1"/>
    <col min="12291" max="12291" width="36" customWidth="1"/>
    <col min="12292" max="12292" width="9.85546875" customWidth="1"/>
    <col min="12293" max="12293" width="13.5703125" customWidth="1"/>
    <col min="12294" max="12294" width="12.5703125" customWidth="1"/>
    <col min="12295" max="12295" width="14.140625" customWidth="1"/>
    <col min="12296" max="12296" width="11.5703125" customWidth="1"/>
    <col min="12298" max="12298" width="11.140625" bestFit="1" customWidth="1"/>
    <col min="12545" max="12545" width="5" customWidth="1"/>
    <col min="12546" max="12546" width="31" customWidth="1"/>
    <col min="12547" max="12547" width="36" customWidth="1"/>
    <col min="12548" max="12548" width="9.85546875" customWidth="1"/>
    <col min="12549" max="12549" width="13.5703125" customWidth="1"/>
    <col min="12550" max="12550" width="12.5703125" customWidth="1"/>
    <col min="12551" max="12551" width="14.140625" customWidth="1"/>
    <col min="12552" max="12552" width="11.5703125" customWidth="1"/>
    <col min="12554" max="12554" width="11.140625" bestFit="1" customWidth="1"/>
    <col min="12801" max="12801" width="5" customWidth="1"/>
    <col min="12802" max="12802" width="31" customWidth="1"/>
    <col min="12803" max="12803" width="36" customWidth="1"/>
    <col min="12804" max="12804" width="9.85546875" customWidth="1"/>
    <col min="12805" max="12805" width="13.5703125" customWidth="1"/>
    <col min="12806" max="12806" width="12.5703125" customWidth="1"/>
    <col min="12807" max="12807" width="14.140625" customWidth="1"/>
    <col min="12808" max="12808" width="11.5703125" customWidth="1"/>
    <col min="12810" max="12810" width="11.140625" bestFit="1" customWidth="1"/>
    <col min="13057" max="13057" width="5" customWidth="1"/>
    <col min="13058" max="13058" width="31" customWidth="1"/>
    <col min="13059" max="13059" width="36" customWidth="1"/>
    <col min="13060" max="13060" width="9.85546875" customWidth="1"/>
    <col min="13061" max="13061" width="13.5703125" customWidth="1"/>
    <col min="13062" max="13062" width="12.5703125" customWidth="1"/>
    <col min="13063" max="13063" width="14.140625" customWidth="1"/>
    <col min="13064" max="13064" width="11.5703125" customWidth="1"/>
    <col min="13066" max="13066" width="11.140625" bestFit="1" customWidth="1"/>
    <col min="13313" max="13313" width="5" customWidth="1"/>
    <col min="13314" max="13314" width="31" customWidth="1"/>
    <col min="13315" max="13315" width="36" customWidth="1"/>
    <col min="13316" max="13316" width="9.85546875" customWidth="1"/>
    <col min="13317" max="13317" width="13.5703125" customWidth="1"/>
    <col min="13318" max="13318" width="12.5703125" customWidth="1"/>
    <col min="13319" max="13319" width="14.140625" customWidth="1"/>
    <col min="13320" max="13320" width="11.5703125" customWidth="1"/>
    <col min="13322" max="13322" width="11.140625" bestFit="1" customWidth="1"/>
    <col min="13569" max="13569" width="5" customWidth="1"/>
    <col min="13570" max="13570" width="31" customWidth="1"/>
    <col min="13571" max="13571" width="36" customWidth="1"/>
    <col min="13572" max="13572" width="9.85546875" customWidth="1"/>
    <col min="13573" max="13573" width="13.5703125" customWidth="1"/>
    <col min="13574" max="13574" width="12.5703125" customWidth="1"/>
    <col min="13575" max="13575" width="14.140625" customWidth="1"/>
    <col min="13576" max="13576" width="11.5703125" customWidth="1"/>
    <col min="13578" max="13578" width="11.140625" bestFit="1" customWidth="1"/>
    <col min="13825" max="13825" width="5" customWidth="1"/>
    <col min="13826" max="13826" width="31" customWidth="1"/>
    <col min="13827" max="13827" width="36" customWidth="1"/>
    <col min="13828" max="13828" width="9.85546875" customWidth="1"/>
    <col min="13829" max="13829" width="13.5703125" customWidth="1"/>
    <col min="13830" max="13830" width="12.5703125" customWidth="1"/>
    <col min="13831" max="13831" width="14.140625" customWidth="1"/>
    <col min="13832" max="13832" width="11.5703125" customWidth="1"/>
    <col min="13834" max="13834" width="11.140625" bestFit="1" customWidth="1"/>
    <col min="14081" max="14081" width="5" customWidth="1"/>
    <col min="14082" max="14082" width="31" customWidth="1"/>
    <col min="14083" max="14083" width="36" customWidth="1"/>
    <col min="14084" max="14084" width="9.85546875" customWidth="1"/>
    <col min="14085" max="14085" width="13.5703125" customWidth="1"/>
    <col min="14086" max="14086" width="12.5703125" customWidth="1"/>
    <col min="14087" max="14087" width="14.140625" customWidth="1"/>
    <col min="14088" max="14088" width="11.5703125" customWidth="1"/>
    <col min="14090" max="14090" width="11.140625" bestFit="1" customWidth="1"/>
    <col min="14337" max="14337" width="5" customWidth="1"/>
    <col min="14338" max="14338" width="31" customWidth="1"/>
    <col min="14339" max="14339" width="36" customWidth="1"/>
    <col min="14340" max="14340" width="9.85546875" customWidth="1"/>
    <col min="14341" max="14341" width="13.5703125" customWidth="1"/>
    <col min="14342" max="14342" width="12.5703125" customWidth="1"/>
    <col min="14343" max="14343" width="14.140625" customWidth="1"/>
    <col min="14344" max="14344" width="11.5703125" customWidth="1"/>
    <col min="14346" max="14346" width="11.140625" bestFit="1" customWidth="1"/>
    <col min="14593" max="14593" width="5" customWidth="1"/>
    <col min="14594" max="14594" width="31" customWidth="1"/>
    <col min="14595" max="14595" width="36" customWidth="1"/>
    <col min="14596" max="14596" width="9.85546875" customWidth="1"/>
    <col min="14597" max="14597" width="13.5703125" customWidth="1"/>
    <col min="14598" max="14598" width="12.5703125" customWidth="1"/>
    <col min="14599" max="14599" width="14.140625" customWidth="1"/>
    <col min="14600" max="14600" width="11.5703125" customWidth="1"/>
    <col min="14602" max="14602" width="11.140625" bestFit="1" customWidth="1"/>
    <col min="14849" max="14849" width="5" customWidth="1"/>
    <col min="14850" max="14850" width="31" customWidth="1"/>
    <col min="14851" max="14851" width="36" customWidth="1"/>
    <col min="14852" max="14852" width="9.85546875" customWidth="1"/>
    <col min="14853" max="14853" width="13.5703125" customWidth="1"/>
    <col min="14854" max="14854" width="12.5703125" customWidth="1"/>
    <col min="14855" max="14855" width="14.140625" customWidth="1"/>
    <col min="14856" max="14856" width="11.5703125" customWidth="1"/>
    <col min="14858" max="14858" width="11.140625" bestFit="1" customWidth="1"/>
    <col min="15105" max="15105" width="5" customWidth="1"/>
    <col min="15106" max="15106" width="31" customWidth="1"/>
    <col min="15107" max="15107" width="36" customWidth="1"/>
    <col min="15108" max="15108" width="9.85546875" customWidth="1"/>
    <col min="15109" max="15109" width="13.5703125" customWidth="1"/>
    <col min="15110" max="15110" width="12.5703125" customWidth="1"/>
    <col min="15111" max="15111" width="14.140625" customWidth="1"/>
    <col min="15112" max="15112" width="11.5703125" customWidth="1"/>
    <col min="15114" max="15114" width="11.140625" bestFit="1" customWidth="1"/>
    <col min="15361" max="15361" width="5" customWidth="1"/>
    <col min="15362" max="15362" width="31" customWidth="1"/>
    <col min="15363" max="15363" width="36" customWidth="1"/>
    <col min="15364" max="15364" width="9.85546875" customWidth="1"/>
    <col min="15365" max="15365" width="13.5703125" customWidth="1"/>
    <col min="15366" max="15366" width="12.5703125" customWidth="1"/>
    <col min="15367" max="15367" width="14.140625" customWidth="1"/>
    <col min="15368" max="15368" width="11.5703125" customWidth="1"/>
    <col min="15370" max="15370" width="11.140625" bestFit="1" customWidth="1"/>
    <col min="15617" max="15617" width="5" customWidth="1"/>
    <col min="15618" max="15618" width="31" customWidth="1"/>
    <col min="15619" max="15619" width="36" customWidth="1"/>
    <col min="15620" max="15620" width="9.85546875" customWidth="1"/>
    <col min="15621" max="15621" width="13.5703125" customWidth="1"/>
    <col min="15622" max="15622" width="12.5703125" customWidth="1"/>
    <col min="15623" max="15623" width="14.140625" customWidth="1"/>
    <col min="15624" max="15624" width="11.5703125" customWidth="1"/>
    <col min="15626" max="15626" width="11.140625" bestFit="1" customWidth="1"/>
    <col min="15873" max="15873" width="5" customWidth="1"/>
    <col min="15874" max="15874" width="31" customWidth="1"/>
    <col min="15875" max="15875" width="36" customWidth="1"/>
    <col min="15876" max="15876" width="9.85546875" customWidth="1"/>
    <col min="15877" max="15877" width="13.5703125" customWidth="1"/>
    <col min="15878" max="15878" width="12.5703125" customWidth="1"/>
    <col min="15879" max="15879" width="14.140625" customWidth="1"/>
    <col min="15880" max="15880" width="11.5703125" customWidth="1"/>
    <col min="15882" max="15882" width="11.140625" bestFit="1" customWidth="1"/>
    <col min="16129" max="16129" width="5" customWidth="1"/>
    <col min="16130" max="16130" width="31" customWidth="1"/>
    <col min="16131" max="16131" width="36" customWidth="1"/>
    <col min="16132" max="16132" width="9.85546875" customWidth="1"/>
    <col min="16133" max="16133" width="13.5703125" customWidth="1"/>
    <col min="16134" max="16134" width="12.5703125" customWidth="1"/>
    <col min="16135" max="16135" width="14.140625" customWidth="1"/>
    <col min="16136" max="16136" width="11.5703125" customWidth="1"/>
    <col min="16138" max="16138" width="11.140625" bestFit="1" customWidth="1"/>
  </cols>
  <sheetData>
    <row r="1" spans="1:40" ht="15.75" x14ac:dyDescent="0.25">
      <c r="A1" s="3459" t="str">
        <f>'48_NĐ31'!A1</f>
        <v xml:space="preserve">UBND PHƯỜNG BẮC KẠN </v>
      </c>
      <c r="B1" s="3459"/>
      <c r="C1" s="3459"/>
      <c r="D1" s="48"/>
      <c r="E1" s="49"/>
      <c r="F1" s="49"/>
      <c r="G1" s="49"/>
      <c r="H1" s="50"/>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row>
    <row r="2" spans="1:40" s="53" customFormat="1" ht="18" customHeight="1" x14ac:dyDescent="0.25">
      <c r="A2" s="3462" t="s">
        <v>653</v>
      </c>
      <c r="B2" s="3462"/>
      <c r="C2" s="3462"/>
      <c r="D2" s="3462"/>
      <c r="E2" s="3462"/>
      <c r="F2" s="3462"/>
      <c r="G2" s="3462"/>
      <c r="H2" s="346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row>
    <row r="3" spans="1:40" s="53" customFormat="1" ht="16.5" x14ac:dyDescent="0.25">
      <c r="A3" s="3463" t="e">
        <f>'5.31'!A3:E3</f>
        <v>#REF!</v>
      </c>
      <c r="B3" s="3464"/>
      <c r="C3" s="3464"/>
      <c r="D3" s="3464"/>
      <c r="E3" s="3464"/>
      <c r="F3" s="3464"/>
      <c r="G3" s="3464"/>
      <c r="H3" s="3464"/>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row>
    <row r="4" spans="1:40" s="53" customFormat="1" ht="15.75" x14ac:dyDescent="0.25">
      <c r="A4" s="54"/>
      <c r="B4" s="91"/>
      <c r="C4" s="54"/>
      <c r="D4" s="54"/>
      <c r="E4" s="54"/>
      <c r="F4" s="54"/>
      <c r="G4" s="3460" t="s">
        <v>577</v>
      </c>
      <c r="H4" s="3460"/>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row>
    <row r="5" spans="1:40" s="56" customFormat="1" ht="57" customHeight="1" x14ac:dyDescent="0.25">
      <c r="A5" s="55" t="s">
        <v>0</v>
      </c>
      <c r="B5" s="55" t="s">
        <v>52</v>
      </c>
      <c r="C5" s="55" t="s">
        <v>1</v>
      </c>
      <c r="D5" s="55" t="s">
        <v>625</v>
      </c>
      <c r="E5" s="55" t="s">
        <v>627</v>
      </c>
      <c r="F5" s="55" t="s">
        <v>650</v>
      </c>
      <c r="G5" s="55" t="s">
        <v>651</v>
      </c>
      <c r="H5" s="55" t="s">
        <v>649</v>
      </c>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row>
    <row r="6" spans="1:40" s="56" customFormat="1" ht="24.75" customHeight="1" x14ac:dyDescent="0.25">
      <c r="A6" s="94" t="s">
        <v>3</v>
      </c>
      <c r="B6" s="94" t="s">
        <v>4</v>
      </c>
      <c r="C6" s="94" t="s">
        <v>45</v>
      </c>
      <c r="D6" s="94" t="s">
        <v>67</v>
      </c>
      <c r="E6" s="94">
        <v>1</v>
      </c>
      <c r="F6" s="94">
        <v>2</v>
      </c>
      <c r="G6" s="94">
        <v>3</v>
      </c>
      <c r="H6" s="94" t="s">
        <v>632</v>
      </c>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row>
    <row r="7" spans="1:40" s="56" customFormat="1" ht="33" customHeight="1" x14ac:dyDescent="0.25">
      <c r="A7" s="55"/>
      <c r="B7" s="3465" t="s">
        <v>572</v>
      </c>
      <c r="C7" s="3466"/>
      <c r="D7" s="55"/>
      <c r="E7" s="99">
        <f>E8+E9</f>
        <v>170.5</v>
      </c>
      <c r="F7" s="99">
        <f>F8+F9</f>
        <v>0</v>
      </c>
      <c r="G7" s="99">
        <f>G8+G9</f>
        <v>170.5</v>
      </c>
      <c r="H7" s="99">
        <f>H8+H9</f>
        <v>0</v>
      </c>
      <c r="I7" s="51"/>
      <c r="J7" s="57"/>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row>
    <row r="8" spans="1:40" s="56" customFormat="1" ht="30" x14ac:dyDescent="0.25">
      <c r="A8" s="96">
        <v>1</v>
      </c>
      <c r="B8" s="95" t="s">
        <v>578</v>
      </c>
      <c r="C8" s="95" t="s">
        <v>579</v>
      </c>
      <c r="D8" s="96">
        <v>2012</v>
      </c>
      <c r="E8" s="97">
        <v>20.5</v>
      </c>
      <c r="F8" s="97"/>
      <c r="G8" s="97">
        <v>20.5</v>
      </c>
      <c r="H8" s="98">
        <f>E8+F8-G8</f>
        <v>0</v>
      </c>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row>
    <row r="9" spans="1:40" s="56" customFormat="1" ht="28.5" customHeight="1" x14ac:dyDescent="0.25">
      <c r="A9" s="58">
        <v>2</v>
      </c>
      <c r="B9" s="59" t="s">
        <v>580</v>
      </c>
      <c r="C9" s="59" t="s">
        <v>599</v>
      </c>
      <c r="D9" s="58">
        <v>2014</v>
      </c>
      <c r="E9" s="60">
        <v>150</v>
      </c>
      <c r="F9" s="60"/>
      <c r="G9" s="60">
        <v>150</v>
      </c>
      <c r="H9" s="61">
        <f>E9+F9-G9</f>
        <v>0</v>
      </c>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row>
    <row r="10" spans="1:40" ht="31.5" customHeight="1" x14ac:dyDescent="0.25">
      <c r="A10" s="3461" t="s">
        <v>602</v>
      </c>
      <c r="B10" s="3461"/>
      <c r="C10" s="3461"/>
      <c r="D10" s="3461"/>
      <c r="E10" s="3461"/>
      <c r="F10" s="3461"/>
      <c r="G10" s="3461"/>
      <c r="H10" s="346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row>
    <row r="11" spans="1:40" x14ac:dyDescent="0.25">
      <c r="A11" s="51"/>
      <c r="B11" s="92"/>
      <c r="C11" s="51"/>
      <c r="D11" s="62"/>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row>
  </sheetData>
  <mergeCells count="6">
    <mergeCell ref="A1:C1"/>
    <mergeCell ref="G4:H4"/>
    <mergeCell ref="A10:H10"/>
    <mergeCell ref="A2:H2"/>
    <mergeCell ref="A3:H3"/>
    <mergeCell ref="B7:C7"/>
  </mergeCells>
  <printOptions horizontalCentered="1"/>
  <pageMargins left="0.43307086614173229" right="0.6692913385826772" top="0.55118110236220474" bottom="0.55118110236220474" header="0.31496062992125984" footer="0.31496062992125984"/>
  <pageSetup paperSize="9" firstPageNumber="88" orientation="landscape" useFirstPageNumber="1" r:id="rId1"/>
  <headerFooter>
    <oddHeader>&amp;RBiểu số 5. 32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X39"/>
  <sheetViews>
    <sheetView tabSelected="1" view="pageBreakPreview" topLeftCell="A4" zoomScale="90" zoomScaleNormal="90" zoomScaleSheetLayoutView="90" workbookViewId="0">
      <selection activeCell="U21" sqref="U21"/>
    </sheetView>
  </sheetViews>
  <sheetFormatPr defaultColWidth="8.85546875" defaultRowHeight="15" x14ac:dyDescent="0.25"/>
  <cols>
    <col min="1" max="1" width="7.140625" style="36" customWidth="1"/>
    <col min="2" max="2" width="40" style="36" customWidth="1"/>
    <col min="3" max="3" width="17.42578125" style="36" hidden="1" customWidth="1"/>
    <col min="4" max="4" width="18.42578125" style="36" customWidth="1"/>
    <col min="5" max="5" width="18.42578125" style="46" customWidth="1"/>
    <col min="6" max="6" width="18.42578125" style="36" customWidth="1"/>
    <col min="7" max="7" width="11.85546875" style="186" customWidth="1"/>
    <col min="8" max="8" width="23.140625" style="186" customWidth="1"/>
    <col min="9" max="9" width="22.85546875" style="147" hidden="1" customWidth="1"/>
    <col min="10" max="10" width="25" style="36" hidden="1" customWidth="1"/>
    <col min="11" max="11" width="22.7109375" style="36" hidden="1" customWidth="1"/>
    <col min="12" max="12" width="20" style="36" hidden="1" customWidth="1"/>
    <col min="13" max="13" width="13.42578125" style="36" hidden="1" customWidth="1"/>
    <col min="14" max="14" width="11.28515625" style="36" hidden="1" customWidth="1"/>
    <col min="15" max="15" width="17.140625" style="36" hidden="1" customWidth="1"/>
    <col min="16" max="16" width="20.5703125" style="36" hidden="1" customWidth="1"/>
    <col min="17" max="17" width="21.5703125" style="36" hidden="1" customWidth="1"/>
    <col min="18" max="18" width="15.85546875" style="36" customWidth="1"/>
    <col min="19" max="21" width="8.85546875" style="36" customWidth="1"/>
    <col min="22" max="22" width="8.85546875" style="36"/>
    <col min="23" max="23" width="21.85546875" style="36" hidden="1" customWidth="1"/>
    <col min="24" max="24" width="19.42578125" style="36" hidden="1" customWidth="1"/>
    <col min="25" max="25" width="0" style="36" hidden="1" customWidth="1"/>
    <col min="26" max="16384" width="8.85546875" style="36"/>
  </cols>
  <sheetData>
    <row r="1" spans="1:16" ht="26.25" customHeight="1" x14ac:dyDescent="0.25">
      <c r="A1" s="3130" t="s">
        <v>2020</v>
      </c>
      <c r="B1" s="3130"/>
      <c r="F1" s="242"/>
      <c r="G1" s="242"/>
      <c r="H1" s="334" t="s">
        <v>959</v>
      </c>
    </row>
    <row r="2" spans="1:16" ht="20.25" hidden="1" customHeight="1" x14ac:dyDescent="0.25">
      <c r="A2" s="3129" t="s">
        <v>1497</v>
      </c>
      <c r="B2" s="3129"/>
      <c r="C2" s="3129"/>
      <c r="D2" s="3129"/>
      <c r="E2" s="3129"/>
      <c r="F2" s="3129"/>
      <c r="G2" s="3129"/>
      <c r="H2" s="334"/>
    </row>
    <row r="3" spans="1:16" ht="22.15" customHeight="1" x14ac:dyDescent="0.25">
      <c r="A3" s="3132" t="s">
        <v>1970</v>
      </c>
      <c r="B3" s="3132"/>
      <c r="C3" s="3132"/>
      <c r="D3" s="3132"/>
      <c r="E3" s="3132"/>
      <c r="F3" s="3132"/>
      <c r="G3" s="3132"/>
      <c r="H3" s="3132"/>
    </row>
    <row r="4" spans="1:16" ht="19.5" customHeight="1" x14ac:dyDescent="0.25">
      <c r="A4" s="3133" t="s">
        <v>2349</v>
      </c>
      <c r="B4" s="3133"/>
      <c r="C4" s="3133"/>
      <c r="D4" s="3133"/>
      <c r="E4" s="3133"/>
      <c r="F4" s="3133"/>
      <c r="G4" s="3133"/>
      <c r="H4" s="3133"/>
    </row>
    <row r="5" spans="1:16" ht="18.75" customHeight="1" x14ac:dyDescent="0.25">
      <c r="B5" s="46"/>
      <c r="C5" s="46"/>
      <c r="E5" s="1359"/>
      <c r="H5" s="175" t="s">
        <v>1187</v>
      </c>
    </row>
    <row r="6" spans="1:16" ht="22.5" customHeight="1" x14ac:dyDescent="0.25">
      <c r="A6" s="3134" t="s">
        <v>0</v>
      </c>
      <c r="B6" s="3134" t="s">
        <v>1</v>
      </c>
      <c r="C6" s="3136" t="s">
        <v>800</v>
      </c>
      <c r="D6" s="3134" t="s">
        <v>2</v>
      </c>
      <c r="E6" s="3135" t="s">
        <v>400</v>
      </c>
      <c r="F6" s="3134" t="s">
        <v>401</v>
      </c>
      <c r="G6" s="3134"/>
      <c r="H6" s="3131" t="s">
        <v>55</v>
      </c>
    </row>
    <row r="7" spans="1:16" ht="31.5" x14ac:dyDescent="0.25">
      <c r="A7" s="3134"/>
      <c r="B7" s="3134"/>
      <c r="C7" s="3137"/>
      <c r="D7" s="3134"/>
      <c r="E7" s="3135"/>
      <c r="F7" s="5" t="s">
        <v>402</v>
      </c>
      <c r="G7" s="176" t="s">
        <v>403</v>
      </c>
      <c r="H7" s="3131"/>
    </row>
    <row r="8" spans="1:16" ht="20.25" customHeight="1" x14ac:dyDescent="0.25">
      <c r="A8" s="252" t="s">
        <v>3</v>
      </c>
      <c r="B8" s="252" t="s">
        <v>4</v>
      </c>
      <c r="C8" s="252"/>
      <c r="D8" s="252">
        <v>1</v>
      </c>
      <c r="E8" s="1345">
        <v>2</v>
      </c>
      <c r="F8" s="252" t="s">
        <v>176</v>
      </c>
      <c r="G8" s="1346" t="s">
        <v>404</v>
      </c>
      <c r="H8" s="1801">
        <v>5</v>
      </c>
      <c r="J8" s="46"/>
    </row>
    <row r="9" spans="1:16" s="44" customFormat="1" ht="25.5" customHeight="1" x14ac:dyDescent="0.2">
      <c r="A9" s="5" t="s">
        <v>3</v>
      </c>
      <c r="B9" s="84" t="s">
        <v>405</v>
      </c>
      <c r="C9" s="85">
        <f>C10+C13+C17+C18+C19</f>
        <v>374473982.20900005</v>
      </c>
      <c r="D9" s="1804">
        <f>D10+D13+D17+D18+D19</f>
        <v>374473982.20900005</v>
      </c>
      <c r="E9" s="1804">
        <f>SUM(E10,E13,E16,E17,E19,E18)</f>
        <v>377577237.37100005</v>
      </c>
      <c r="F9" s="1804">
        <f t="shared" ref="F9:F11" si="0">E9-D9</f>
        <v>3103255.1620000005</v>
      </c>
      <c r="G9" s="2898">
        <f>E9/D9%</f>
        <v>100.82869713503034</v>
      </c>
      <c r="H9" s="1793"/>
      <c r="I9" s="1342"/>
      <c r="J9" s="1445">
        <f>'61_TT342'!H44</f>
        <v>0</v>
      </c>
      <c r="L9" s="45"/>
      <c r="M9" s="1446">
        <f>D9-E9</f>
        <v>-3103255.1620000005</v>
      </c>
      <c r="P9" s="45"/>
    </row>
    <row r="10" spans="1:16" s="44" customFormat="1" ht="25.5" customHeight="1" x14ac:dyDescent="0.2">
      <c r="A10" s="1795" t="s">
        <v>5</v>
      </c>
      <c r="B10" s="1796" t="s">
        <v>66</v>
      </c>
      <c r="C10" s="1797">
        <f>SUM(C11:C12)</f>
        <v>0</v>
      </c>
      <c r="D10" s="2235"/>
      <c r="E10" s="2235">
        <f>SUM(E11:E12)</f>
        <v>2602455.8850000002</v>
      </c>
      <c r="F10" s="2235">
        <f t="shared" si="0"/>
        <v>2602455.8850000002</v>
      </c>
      <c r="G10" s="2899"/>
      <c r="H10" s="1798"/>
      <c r="I10" s="173">
        <f>E9-D9</f>
        <v>3103255.1620000005</v>
      </c>
      <c r="J10" s="313">
        <f>'61_TT342'!I44</f>
        <v>377577237.37100005</v>
      </c>
      <c r="L10" s="45"/>
      <c r="M10" s="187"/>
    </row>
    <row r="11" spans="1:16" ht="25.5" customHeight="1" x14ac:dyDescent="0.25">
      <c r="A11" s="68">
        <v>1</v>
      </c>
      <c r="B11" s="69" t="s">
        <v>406</v>
      </c>
      <c r="C11" s="70"/>
      <c r="D11" s="1437"/>
      <c r="E11" s="1437">
        <f>'60_TT342'!B10</f>
        <v>2602455.8850000002</v>
      </c>
      <c r="F11" s="1437">
        <f t="shared" si="0"/>
        <v>2602455.8850000002</v>
      </c>
      <c r="G11" s="2900"/>
      <c r="H11" s="784"/>
      <c r="I11" s="147">
        <f>'60_TT342'!B10</f>
        <v>2602455.8850000002</v>
      </c>
      <c r="J11" s="314">
        <f>J9+J10</f>
        <v>377577237.37100005</v>
      </c>
      <c r="L11" s="46">
        <f>E11+E19</f>
        <v>3103255.1620000005</v>
      </c>
      <c r="M11" s="172">
        <f>D9-E9</f>
        <v>-3103255.1620000005</v>
      </c>
    </row>
    <row r="12" spans="1:16" ht="35.25" customHeight="1" x14ac:dyDescent="0.25">
      <c r="A12" s="68">
        <v>2</v>
      </c>
      <c r="B12" s="69" t="s">
        <v>407</v>
      </c>
      <c r="C12" s="70"/>
      <c r="D12" s="1437"/>
      <c r="E12" s="1437"/>
      <c r="F12" s="1437"/>
      <c r="G12" s="2900"/>
      <c r="H12" s="784"/>
      <c r="I12" s="147">
        <f>'60_TT342'!B11</f>
        <v>0</v>
      </c>
      <c r="J12" s="314">
        <f>J11-E9</f>
        <v>0</v>
      </c>
      <c r="K12" s="46"/>
      <c r="M12" s="172"/>
    </row>
    <row r="13" spans="1:16" s="44" customFormat="1" ht="25.5" customHeight="1" x14ac:dyDescent="0.2">
      <c r="A13" s="65" t="s">
        <v>11</v>
      </c>
      <c r="B13" s="66" t="s">
        <v>408</v>
      </c>
      <c r="C13" s="180">
        <f>SUM(C14:C15)</f>
        <v>368728607.75400001</v>
      </c>
      <c r="D13" s="2236">
        <f>SUM(D14:D15)</f>
        <v>368728607.75400001</v>
      </c>
      <c r="E13" s="2236">
        <f>SUM(E14:E15)</f>
        <v>368728607.75400001</v>
      </c>
      <c r="F13" s="2236"/>
      <c r="G13" s="2901">
        <f t="shared" ref="G13:G15" si="1">E13/D13%</f>
        <v>100</v>
      </c>
      <c r="H13" s="785"/>
      <c r="I13" s="173">
        <f>SUM(I11:I12)</f>
        <v>2602455.8850000002</v>
      </c>
      <c r="J13" s="313"/>
    </row>
    <row r="14" spans="1:16" ht="25.5" customHeight="1" x14ac:dyDescent="0.25">
      <c r="A14" s="68">
        <v>1</v>
      </c>
      <c r="B14" s="182" t="s">
        <v>59</v>
      </c>
      <c r="C14" s="89">
        <f>211280000+41596000+5457000-2079125.408</f>
        <v>256253874.59200001</v>
      </c>
      <c r="D14" s="1819">
        <f>211280000+41596000+5457000-2079125.408</f>
        <v>256253874.59200001</v>
      </c>
      <c r="E14" s="1437">
        <f>'60_TT342'!D16</f>
        <v>256253874.59200001</v>
      </c>
      <c r="F14" s="1437"/>
      <c r="G14" s="2900">
        <f t="shared" si="1"/>
        <v>100</v>
      </c>
      <c r="H14" s="784"/>
      <c r="L14" s="46"/>
    </row>
    <row r="15" spans="1:16" ht="25.5" customHeight="1" x14ac:dyDescent="0.25">
      <c r="A15" s="68">
        <v>3</v>
      </c>
      <c r="B15" s="182" t="s">
        <v>60</v>
      </c>
      <c r="C15" s="1436">
        <f>114809954.563-2335221.401</f>
        <v>112474733.162</v>
      </c>
      <c r="D15" s="1817">
        <f>114809954.563-2335221.401</f>
        <v>112474733.162</v>
      </c>
      <c r="E15" s="1437">
        <f>'60_TT342'!D17</f>
        <v>112474733.162</v>
      </c>
      <c r="F15" s="1437"/>
      <c r="G15" s="2900">
        <f t="shared" si="1"/>
        <v>100</v>
      </c>
      <c r="H15" s="784"/>
      <c r="J15" s="46"/>
      <c r="L15" s="1359">
        <f>D23-L14</f>
        <v>225089874.59200001</v>
      </c>
    </row>
    <row r="16" spans="1:16" s="44" customFormat="1" ht="25.5" customHeight="1" x14ac:dyDescent="0.2">
      <c r="A16" s="65" t="s">
        <v>17</v>
      </c>
      <c r="B16" s="66" t="s">
        <v>488</v>
      </c>
      <c r="C16" s="180"/>
      <c r="D16" s="2236"/>
      <c r="E16" s="2236"/>
      <c r="F16" s="2236"/>
      <c r="G16" s="2901"/>
      <c r="H16" s="785"/>
      <c r="I16" s="173"/>
    </row>
    <row r="17" spans="1:24" s="44" customFormat="1" ht="25.5" customHeight="1" x14ac:dyDescent="0.2">
      <c r="A17" s="65" t="s">
        <v>18</v>
      </c>
      <c r="B17" s="66" t="s">
        <v>61</v>
      </c>
      <c r="C17" s="180">
        <v>474795.33199999999</v>
      </c>
      <c r="D17" s="2237">
        <v>474795.33199999999</v>
      </c>
      <c r="E17" s="2237">
        <f>'61_TT342'!E43</f>
        <v>474795.33199999999</v>
      </c>
      <c r="F17" s="2236"/>
      <c r="G17" s="2902"/>
      <c r="H17" s="1341"/>
      <c r="I17" s="1342"/>
    </row>
    <row r="18" spans="1:24" s="44" customFormat="1" ht="35.25" customHeight="1" x14ac:dyDescent="0.2">
      <c r="A18" s="65" t="s">
        <v>22</v>
      </c>
      <c r="B18" s="66" t="s">
        <v>62</v>
      </c>
      <c r="C18" s="180">
        <v>5270579.1229999997</v>
      </c>
      <c r="D18" s="2237">
        <v>5270579.1229999997</v>
      </c>
      <c r="E18" s="2237">
        <f>'61_TT342'!E42</f>
        <v>5270579.1229999997</v>
      </c>
      <c r="F18" s="2236"/>
      <c r="G18" s="2902"/>
      <c r="H18" s="1341"/>
      <c r="I18" s="1342"/>
      <c r="M18" s="47"/>
    </row>
    <row r="19" spans="1:24" s="44" customFormat="1" ht="25.5" customHeight="1" x14ac:dyDescent="0.2">
      <c r="A19" s="65" t="s">
        <v>50</v>
      </c>
      <c r="B19" s="66" t="s">
        <v>99</v>
      </c>
      <c r="C19" s="66"/>
      <c r="D19" s="2237"/>
      <c r="E19" s="2237">
        <f>'61_TT342'!I34</f>
        <v>500799.277</v>
      </c>
      <c r="F19" s="2236">
        <f t="shared" ref="F19:F33" si="2">E19-D19</f>
        <v>500799.277</v>
      </c>
      <c r="G19" s="2901"/>
      <c r="H19" s="181"/>
      <c r="I19" s="173"/>
      <c r="L19" s="45"/>
      <c r="M19" s="47"/>
    </row>
    <row r="20" spans="1:24" s="44" customFormat="1" ht="25.5" customHeight="1" x14ac:dyDescent="0.2">
      <c r="A20" s="65" t="s">
        <v>4</v>
      </c>
      <c r="B20" s="66" t="s">
        <v>77</v>
      </c>
      <c r="C20" s="180">
        <f>C21+C29+C36</f>
        <v>374473982.208</v>
      </c>
      <c r="D20" s="2237">
        <f>D21+D29+D36</f>
        <v>374473982.20899999</v>
      </c>
      <c r="E20" s="2237">
        <f>SUM(E21,E29,E36)</f>
        <v>374832535.13300002</v>
      </c>
      <c r="F20" s="2236">
        <f>SUM(F21,F29,F36)</f>
        <v>108552.92400000244</v>
      </c>
      <c r="G20" s="2902">
        <f>E20/D20%</f>
        <v>100.09574842072738</v>
      </c>
      <c r="H20" s="1799"/>
      <c r="I20" s="1447"/>
      <c r="J20" s="1448"/>
      <c r="L20" s="1055"/>
      <c r="M20" s="1449"/>
      <c r="O20" s="1342"/>
      <c r="P20" s="366"/>
      <c r="Q20" s="1450"/>
      <c r="W20" s="44">
        <v>375158717.65399992</v>
      </c>
    </row>
    <row r="21" spans="1:24" s="44" customFormat="1" ht="25.5" customHeight="1" x14ac:dyDescent="0.2">
      <c r="A21" s="65" t="s">
        <v>5</v>
      </c>
      <c r="B21" s="66" t="s">
        <v>409</v>
      </c>
      <c r="C21" s="180">
        <f>C22+C23+C24+C25+C26+C27</f>
        <v>256253874.59200001</v>
      </c>
      <c r="D21" s="2237">
        <f>D22+D23+D24+D25+D26+D27</f>
        <v>256253874.59200001</v>
      </c>
      <c r="E21" s="2237">
        <f>SUM(E22:E28)</f>
        <v>255714316.56400001</v>
      </c>
      <c r="F21" s="2236">
        <f>SUM(F22:F27)</f>
        <v>-789558.02800000645</v>
      </c>
      <c r="G21" s="2901">
        <f>E21/D21%</f>
        <v>99.789443953244003</v>
      </c>
      <c r="H21" s="417"/>
      <c r="I21" s="258"/>
      <c r="K21" s="187">
        <v>138762</v>
      </c>
      <c r="L21" s="1055">
        <f>E20-D20</f>
        <v>358552.9240000248</v>
      </c>
      <c r="M21" s="45">
        <f>D9-D20</f>
        <v>0</v>
      </c>
      <c r="O21" s="428">
        <f>E23+E29</f>
        <v>304514210.61900002</v>
      </c>
      <c r="R21" s="1791"/>
    </row>
    <row r="22" spans="1:24" ht="25.5" customHeight="1" x14ac:dyDescent="0.25">
      <c r="A22" s="68">
        <v>1</v>
      </c>
      <c r="B22" s="69" t="s">
        <v>27</v>
      </c>
      <c r="C22" s="1454">
        <v>23560000</v>
      </c>
      <c r="D22" s="1634">
        <v>23560000</v>
      </c>
      <c r="E22" s="1634">
        <f>'51_NĐ31'!D10</f>
        <v>22898469.927000001</v>
      </c>
      <c r="F22" s="1437">
        <f t="shared" si="2"/>
        <v>-661530.07299999893</v>
      </c>
      <c r="G22" s="2900">
        <f>E22/D22%</f>
        <v>97.192147398132434</v>
      </c>
      <c r="H22" s="1802"/>
      <c r="I22" s="312">
        <v>301867.87399999995</v>
      </c>
      <c r="J22" s="46"/>
      <c r="K22" s="172">
        <v>96635</v>
      </c>
      <c r="L22" s="1359">
        <f>L21-E11</f>
        <v>-2243902.9609999754</v>
      </c>
      <c r="M22" s="46"/>
      <c r="O22" s="46">
        <f>E22+E31</f>
        <v>23185254.901000001</v>
      </c>
      <c r="P22" s="46">
        <f>E23+E27+E28+E32+E33</f>
        <v>314988038.52499998</v>
      </c>
      <c r="W22" s="46"/>
    </row>
    <row r="23" spans="1:24" ht="25.5" customHeight="1" x14ac:dyDescent="0.25">
      <c r="A23" s="68">
        <v>2</v>
      </c>
      <c r="B23" s="69" t="s">
        <v>28</v>
      </c>
      <c r="C23" s="1454">
        <v>225089874.59200001</v>
      </c>
      <c r="D23" s="1634">
        <f>221912000+5457000-2079125.408-200000</f>
        <v>225089874.59200001</v>
      </c>
      <c r="E23" s="1634">
        <f>'51_NĐ31'!D19</f>
        <v>222055233.757</v>
      </c>
      <c r="F23" s="1437">
        <f t="shared" si="2"/>
        <v>-3034640.8350000083</v>
      </c>
      <c r="G23" s="2900">
        <f>E23/D23%</f>
        <v>98.651809264854478</v>
      </c>
      <c r="H23" s="2475"/>
      <c r="J23" s="179">
        <f>E23+E32+E35</f>
        <v>304227425.64499998</v>
      </c>
      <c r="K23" s="172">
        <f>K21-K22</f>
        <v>42127</v>
      </c>
      <c r="L23" s="1432">
        <f>L22-E11</f>
        <v>-4846358.8459999757</v>
      </c>
      <c r="M23" s="46">
        <f>D14-D21</f>
        <v>0</v>
      </c>
      <c r="O23" s="46">
        <f>D23+D33</f>
        <v>338326097.79299998</v>
      </c>
      <c r="P23" s="450">
        <f>E23+E27+E28+E32+E33</f>
        <v>314988038.52499998</v>
      </c>
    </row>
    <row r="24" spans="1:24" ht="35.25" customHeight="1" x14ac:dyDescent="0.25">
      <c r="A24" s="68">
        <v>3</v>
      </c>
      <c r="B24" s="69" t="s">
        <v>410</v>
      </c>
      <c r="C24" s="1454"/>
      <c r="D24" s="1634"/>
      <c r="E24" s="1634"/>
      <c r="F24" s="1437"/>
      <c r="G24" s="2900"/>
      <c r="H24" s="1805"/>
      <c r="I24" s="147">
        <f>E22+E34+E31</f>
        <v>23185254.901000001</v>
      </c>
      <c r="K24" s="172"/>
      <c r="L24" s="229"/>
      <c r="M24" s="46"/>
      <c r="O24" s="162"/>
      <c r="P24" s="450">
        <f>E23+E33+E32</f>
        <v>304227425.64500004</v>
      </c>
      <c r="W24" s="46"/>
    </row>
    <row r="25" spans="1:24" ht="25.5" customHeight="1" x14ac:dyDescent="0.25">
      <c r="A25" s="68">
        <v>4</v>
      </c>
      <c r="B25" s="69" t="s">
        <v>64</v>
      </c>
      <c r="C25" s="1454">
        <v>7604000</v>
      </c>
      <c r="D25" s="1634">
        <v>7604000</v>
      </c>
      <c r="E25" s="1634"/>
      <c r="F25" s="1437">
        <f>E25-D25</f>
        <v>-7604000</v>
      </c>
      <c r="G25" s="2900">
        <f>E25/D25%</f>
        <v>0</v>
      </c>
      <c r="H25" s="178"/>
      <c r="J25" s="179"/>
      <c r="K25" s="338">
        <v>96634.966199999995</v>
      </c>
      <c r="L25" s="46"/>
      <c r="M25" s="46"/>
    </row>
    <row r="26" spans="1:24" ht="25.5" customHeight="1" x14ac:dyDescent="0.25">
      <c r="A26" s="68">
        <v>5</v>
      </c>
      <c r="B26" s="69" t="s">
        <v>411</v>
      </c>
      <c r="C26" s="69"/>
      <c r="D26" s="1634"/>
      <c r="E26" s="1634"/>
      <c r="F26" s="1437"/>
      <c r="G26" s="2900"/>
      <c r="H26" s="1805"/>
      <c r="K26" s="304">
        <v>16839.675999999999</v>
      </c>
      <c r="W26" s="1806">
        <v>304236425645</v>
      </c>
    </row>
    <row r="27" spans="1:24" ht="25.5" customHeight="1" x14ac:dyDescent="0.25">
      <c r="A27" s="68">
        <v>6</v>
      </c>
      <c r="B27" s="69" t="s">
        <v>489</v>
      </c>
      <c r="C27" s="69"/>
      <c r="D27" s="1634"/>
      <c r="E27" s="1634">
        <f>'51_NĐ31'!D24</f>
        <v>10510612.880000001</v>
      </c>
      <c r="F27" s="1437">
        <f t="shared" si="2"/>
        <v>10510612.880000001</v>
      </c>
      <c r="G27" s="2900"/>
      <c r="H27" s="178"/>
      <c r="M27" s="46"/>
    </row>
    <row r="28" spans="1:24" ht="25.5" customHeight="1" x14ac:dyDescent="0.25">
      <c r="A28" s="68">
        <v>7</v>
      </c>
      <c r="B28" s="69" t="s">
        <v>1388</v>
      </c>
      <c r="C28" s="69"/>
      <c r="D28" s="1634"/>
      <c r="E28" s="1634">
        <f>'51_NĐ31'!D25</f>
        <v>250000</v>
      </c>
      <c r="F28" s="1437"/>
      <c r="G28" s="2900"/>
      <c r="H28" s="178"/>
      <c r="M28" s="46"/>
      <c r="N28" s="46"/>
    </row>
    <row r="29" spans="1:24" s="44" customFormat="1" ht="25.5" customHeight="1" x14ac:dyDescent="0.25">
      <c r="A29" s="65" t="s">
        <v>11</v>
      </c>
      <c r="B29" s="66" t="s">
        <v>412</v>
      </c>
      <c r="C29" s="180">
        <f>C30+C33</f>
        <v>118220107.616</v>
      </c>
      <c r="D29" s="2237">
        <f>D30+D33</f>
        <v>118220107.617</v>
      </c>
      <c r="E29" s="2237">
        <f>E30+E33</f>
        <v>82458976.862000003</v>
      </c>
      <c r="F29" s="2236">
        <f t="shared" si="2"/>
        <v>-35761130.754999995</v>
      </c>
      <c r="G29" s="2901">
        <f>E29/D29%</f>
        <v>69.750382167764528</v>
      </c>
      <c r="H29" s="1827"/>
      <c r="I29" s="173">
        <f>E23+E32+E35</f>
        <v>304227425.64499998</v>
      </c>
      <c r="J29" s="179">
        <f>'62_TT342'!E60</f>
        <v>304227425.64499998</v>
      </c>
      <c r="L29" s="45">
        <f>E23+E29</f>
        <v>304514210.61900002</v>
      </c>
      <c r="N29" s="44">
        <v>6014.1880000000001</v>
      </c>
      <c r="W29" s="1791">
        <f>E29-H29</f>
        <v>82458976.862000003</v>
      </c>
    </row>
    <row r="30" spans="1:24" ht="25.5" customHeight="1" x14ac:dyDescent="0.25">
      <c r="A30" s="68">
        <v>1</v>
      </c>
      <c r="B30" s="69" t="s">
        <v>413</v>
      </c>
      <c r="C30" s="1437">
        <f>C31+C32</f>
        <v>4983884.4159999993</v>
      </c>
      <c r="D30" s="1634">
        <f>D31+D32</f>
        <v>4983884.4159999993</v>
      </c>
      <c r="E30" s="1634">
        <f>E31+E32</f>
        <v>1461068.6940000001</v>
      </c>
      <c r="F30" s="1437">
        <f t="shared" si="2"/>
        <v>-3522815.7219999991</v>
      </c>
      <c r="G30" s="2900"/>
      <c r="H30" s="1805"/>
      <c r="N30" s="46"/>
      <c r="W30" s="1359">
        <f>W31+W32</f>
        <v>1461068.6940000001</v>
      </c>
    </row>
    <row r="31" spans="1:24" s="184" customFormat="1" ht="25.5" customHeight="1" x14ac:dyDescent="0.25">
      <c r="A31" s="1311" t="s">
        <v>7</v>
      </c>
      <c r="B31" s="1782" t="s">
        <v>609</v>
      </c>
      <c r="C31" s="1800">
        <f>59400+284285.271</f>
        <v>343685.27100000001</v>
      </c>
      <c r="D31" s="2238">
        <f>'51_NĐ31'!C47</f>
        <v>343685.27100000001</v>
      </c>
      <c r="E31" s="2238">
        <f>'51_NĐ31'!D47</f>
        <v>286784.97399999999</v>
      </c>
      <c r="F31" s="2239">
        <f t="shared" si="2"/>
        <v>-56900.29700000002</v>
      </c>
      <c r="G31" s="2903"/>
      <c r="H31" s="183"/>
      <c r="I31" s="185">
        <f>E31+E32</f>
        <v>1461068.6940000001</v>
      </c>
      <c r="O31" s="430"/>
      <c r="W31" s="1825">
        <v>286784.97399999999</v>
      </c>
      <c r="X31" s="184">
        <v>286784.97399999999</v>
      </c>
    </row>
    <row r="32" spans="1:24" s="184" customFormat="1" ht="25.5" customHeight="1" x14ac:dyDescent="0.25">
      <c r="A32" s="1311" t="s">
        <v>38</v>
      </c>
      <c r="B32" s="1782" t="s">
        <v>535</v>
      </c>
      <c r="C32" s="1800">
        <f>4646213.333-6014.188</f>
        <v>4640199.1449999996</v>
      </c>
      <c r="D32" s="2238">
        <f>4646213.333-6014.188</f>
        <v>4640199.1449999996</v>
      </c>
      <c r="E32" s="2238">
        <f>'54_NĐ31'!N10</f>
        <v>1174283.7200000002</v>
      </c>
      <c r="F32" s="2239">
        <f t="shared" si="2"/>
        <v>-3465915.4249999993</v>
      </c>
      <c r="G32" s="2903"/>
      <c r="H32" s="183"/>
      <c r="I32" s="185"/>
      <c r="J32" s="681">
        <v>19981.400000000001</v>
      </c>
      <c r="L32" s="1337">
        <f>D32-1098099.145-6014.188</f>
        <v>3536085.8119999995</v>
      </c>
      <c r="M32" s="430">
        <f>D32-L32</f>
        <v>1104113.3330000001</v>
      </c>
      <c r="N32" s="430">
        <f>M32-6014.188</f>
        <v>1098099.145</v>
      </c>
      <c r="W32" s="1825">
        <v>1174283.7200000002</v>
      </c>
      <c r="X32" s="1825">
        <v>1174283.7200000002</v>
      </c>
    </row>
    <row r="33" spans="1:23" ht="25.5" customHeight="1" x14ac:dyDescent="0.25">
      <c r="A33" s="68">
        <v>2</v>
      </c>
      <c r="B33" s="69" t="s">
        <v>626</v>
      </c>
      <c r="C33" s="70">
        <f>C34+C35</f>
        <v>113236223.2</v>
      </c>
      <c r="D33" s="1437">
        <f>D34+D35</f>
        <v>113236223.20100001</v>
      </c>
      <c r="E33" s="1437">
        <f>E34+E35</f>
        <v>80997908.167999998</v>
      </c>
      <c r="F33" s="1437">
        <f t="shared" si="2"/>
        <v>-32238315.033000007</v>
      </c>
      <c r="G33" s="2900">
        <f>E33/D33%</f>
        <v>71.530033304117381</v>
      </c>
      <c r="H33" s="178"/>
      <c r="I33" s="147">
        <f>'51_NĐ31'!D78</f>
        <v>80997908.167999998</v>
      </c>
      <c r="J33" s="179">
        <f>J32-D29</f>
        <v>-118200126.21699999</v>
      </c>
      <c r="P33" s="162"/>
    </row>
    <row r="34" spans="1:23" s="184" customFormat="1" ht="25.5" customHeight="1" x14ac:dyDescent="0.25">
      <c r="A34" s="1311" t="s">
        <v>43</v>
      </c>
      <c r="B34" s="1782" t="s">
        <v>609</v>
      </c>
      <c r="C34" s="1782"/>
      <c r="D34" s="2239"/>
      <c r="E34" s="2239"/>
      <c r="F34" s="2239"/>
      <c r="G34" s="2903"/>
      <c r="H34" s="183"/>
      <c r="I34" s="185"/>
    </row>
    <row r="35" spans="1:23" s="184" customFormat="1" ht="17.25" customHeight="1" x14ac:dyDescent="0.25">
      <c r="A35" s="1311" t="s">
        <v>44</v>
      </c>
      <c r="B35" s="1782" t="s">
        <v>535</v>
      </c>
      <c r="C35" s="1782">
        <f>919000+112317223.2</f>
        <v>113236223.2</v>
      </c>
      <c r="D35" s="2238">
        <f>(112474733.162-4983884.416)+5270579.123+474795.332</f>
        <v>113236223.20100001</v>
      </c>
      <c r="E35" s="2239">
        <f>'51_NĐ31'!D78</f>
        <v>80997908.167999998</v>
      </c>
      <c r="F35" s="2239"/>
      <c r="G35" s="2903">
        <f>E35/D35%</f>
        <v>71.530033304117381</v>
      </c>
      <c r="H35" s="183"/>
      <c r="I35" s="185"/>
      <c r="O35" s="1761">
        <f>D35-'51_NĐ31'!C81</f>
        <v>22818958.685000002</v>
      </c>
      <c r="Q35" s="1825">
        <f>D35-'51_NĐ31'!C78</f>
        <v>22818958.685000002</v>
      </c>
    </row>
    <row r="36" spans="1:23" s="44" customFormat="1" ht="51" customHeight="1" x14ac:dyDescent="0.2">
      <c r="A36" s="72" t="s">
        <v>17</v>
      </c>
      <c r="B36" s="73" t="s">
        <v>65</v>
      </c>
      <c r="C36" s="73"/>
      <c r="D36" s="2240"/>
      <c r="E36" s="2240">
        <f>'60_TT342'!F16</f>
        <v>36659241.707000002</v>
      </c>
      <c r="F36" s="2241">
        <f>E36-D36</f>
        <v>36659241.707000002</v>
      </c>
      <c r="G36" s="2904"/>
      <c r="H36" s="2476"/>
      <c r="I36" s="173"/>
      <c r="J36" s="680">
        <f>D30+D34</f>
        <v>4983884.4159999993</v>
      </c>
    </row>
    <row r="37" spans="1:23" s="44" customFormat="1" ht="24.75" customHeight="1" x14ac:dyDescent="0.2">
      <c r="A37" s="5" t="s">
        <v>45</v>
      </c>
      <c r="B37" s="84" t="s">
        <v>497</v>
      </c>
      <c r="C37" s="84"/>
      <c r="D37" s="1804"/>
      <c r="E37" s="1804">
        <f>E9-E20</f>
        <v>2744702.2380000353</v>
      </c>
      <c r="F37" s="1804">
        <f>E37-D37</f>
        <v>2744702.2380000353</v>
      </c>
      <c r="G37" s="2905"/>
      <c r="H37" s="1794"/>
      <c r="I37" s="597">
        <f>'60_TT342'!F19</f>
        <v>2744702.2379999757</v>
      </c>
      <c r="J37" s="783">
        <f>I37-E37</f>
        <v>-5.9604644775390625E-8</v>
      </c>
      <c r="M37" s="45">
        <f>D35-C35</f>
        <v>1.0000020265579224E-3</v>
      </c>
      <c r="W37" s="1791">
        <v>2735622.3780001402</v>
      </c>
    </row>
    <row r="38" spans="1:23" x14ac:dyDescent="0.25">
      <c r="J38" s="319"/>
    </row>
    <row r="39" spans="1:23" x14ac:dyDescent="0.25">
      <c r="J39" s="328"/>
    </row>
  </sheetData>
  <mergeCells count="11">
    <mergeCell ref="A2:G2"/>
    <mergeCell ref="A1:B1"/>
    <mergeCell ref="H6:H7"/>
    <mergeCell ref="A3:H3"/>
    <mergeCell ref="A4:H4"/>
    <mergeCell ref="A6:A7"/>
    <mergeCell ref="B6:B7"/>
    <mergeCell ref="D6:D7"/>
    <mergeCell ref="E6:E7"/>
    <mergeCell ref="F6:G6"/>
    <mergeCell ref="C6:C7"/>
  </mergeCells>
  <pageMargins left="0.59055118110236204" right="0.35433070866141703" top="0.62" bottom="0.61" header="0.31496062992126" footer="0.31496062992126"/>
  <pageSetup paperSize="9" scale="69" firstPageNumber="13" orientation="portrait" useFirstPageNumber="1" r:id="rId1"/>
  <headerFooter>
    <oddFooter>&amp;C&amp;P</oddFooter>
  </headerFooter>
  <colBreaks count="1" manualBreakCount="1">
    <brk id="8" max="3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N40"/>
  <sheetViews>
    <sheetView topLeftCell="B1" zoomScaleNormal="100" zoomScaleSheetLayoutView="115" workbookViewId="0">
      <selection activeCell="N10" sqref="N10"/>
    </sheetView>
  </sheetViews>
  <sheetFormatPr defaultColWidth="9.140625" defaultRowHeight="15" x14ac:dyDescent="0.25"/>
  <cols>
    <col min="1" max="1" width="6.42578125" style="36" customWidth="1"/>
    <col min="2" max="2" width="43.42578125" style="36" customWidth="1"/>
    <col min="3" max="3" width="13.7109375" style="36" customWidth="1"/>
    <col min="4" max="4" width="14.7109375" style="36" customWidth="1"/>
    <col min="5" max="5" width="12.85546875" style="36" customWidth="1"/>
    <col min="6" max="6" width="14.85546875" style="36" hidden="1" customWidth="1"/>
    <col min="7" max="7" width="23" style="36" hidden="1" customWidth="1"/>
    <col min="8" max="8" width="21.7109375" style="36" hidden="1" customWidth="1"/>
    <col min="9" max="11" width="9.140625" style="36" hidden="1" customWidth="1"/>
    <col min="12" max="17" width="9.140625" style="36" customWidth="1"/>
    <col min="18" max="16384" width="9.140625" style="36"/>
  </cols>
  <sheetData>
    <row r="1" spans="1:14" ht="15.75" x14ac:dyDescent="0.25">
      <c r="A1" s="44" t="str">
        <f>'48_NĐ31'!A1</f>
        <v xml:space="preserve">UBND PHƯỜNG BẮC KẠN </v>
      </c>
      <c r="E1" s="2"/>
      <c r="L1" s="36" t="s">
        <v>960</v>
      </c>
      <c r="N1" s="243" t="s">
        <v>1387</v>
      </c>
    </row>
    <row r="2" spans="1:14" ht="10.5" customHeight="1" x14ac:dyDescent="0.25">
      <c r="A2" s="44"/>
      <c r="E2" s="2"/>
    </row>
    <row r="3" spans="1:14" ht="31.15" customHeight="1" x14ac:dyDescent="0.25">
      <c r="A3" s="3132" t="s">
        <v>1383</v>
      </c>
      <c r="B3" s="3132"/>
      <c r="C3" s="3132"/>
      <c r="D3" s="3132"/>
      <c r="E3" s="3132"/>
    </row>
    <row r="4" spans="1:14" ht="21" customHeight="1" x14ac:dyDescent="0.25">
      <c r="A4" s="3138" t="str">
        <f>'48_NĐ31'!A4:G4</f>
        <v>(Kèm theo Quyết định số          /QĐ-UBND ngày          /4/2026 của UBND phường Bắc Kạn)</v>
      </c>
      <c r="B4" s="3138"/>
      <c r="C4" s="3138"/>
      <c r="D4" s="3138"/>
      <c r="E4" s="3138"/>
    </row>
    <row r="5" spans="1:14" ht="24" customHeight="1" x14ac:dyDescent="0.25">
      <c r="E5" s="64" t="s">
        <v>1187</v>
      </c>
    </row>
    <row r="6" spans="1:14" ht="21" customHeight="1" x14ac:dyDescent="0.25">
      <c r="A6" s="5" t="s">
        <v>0</v>
      </c>
      <c r="B6" s="5" t="s">
        <v>1</v>
      </c>
      <c r="C6" s="5" t="s">
        <v>2</v>
      </c>
      <c r="D6" s="5" t="s">
        <v>400</v>
      </c>
      <c r="E6" s="5" t="s">
        <v>414</v>
      </c>
    </row>
    <row r="7" spans="1:14" ht="18" customHeight="1" x14ac:dyDescent="0.25">
      <c r="A7" s="5" t="s">
        <v>3</v>
      </c>
      <c r="B7" s="5" t="s">
        <v>4</v>
      </c>
      <c r="C7" s="5">
        <v>1</v>
      </c>
      <c r="D7" s="5">
        <v>2</v>
      </c>
      <c r="E7" s="5">
        <v>3</v>
      </c>
    </row>
    <row r="8" spans="1:14" s="44" customFormat="1" ht="18" customHeight="1" x14ac:dyDescent="0.2">
      <c r="A8" s="5" t="s">
        <v>3</v>
      </c>
      <c r="B8" s="84" t="s">
        <v>498</v>
      </c>
      <c r="C8" s="85"/>
      <c r="D8" s="85"/>
      <c r="E8" s="86"/>
    </row>
    <row r="9" spans="1:14" s="44" customFormat="1" ht="18" customHeight="1" x14ac:dyDescent="0.2">
      <c r="A9" s="80" t="s">
        <v>5</v>
      </c>
      <c r="B9" s="81" t="s">
        <v>415</v>
      </c>
      <c r="C9" s="87">
        <f>SUM(C10,C11,C15,C16)</f>
        <v>464284</v>
      </c>
      <c r="D9" s="87">
        <f>SUM(D10,D11,D14,D15,D16,D17)</f>
        <v>500799.277</v>
      </c>
      <c r="E9" s="83">
        <f>D9/C9%</f>
        <v>107.86485793178313</v>
      </c>
      <c r="F9" s="44">
        <f>'61_TT342'!H44</f>
        <v>0</v>
      </c>
      <c r="G9" s="45">
        <f>D9-D29</f>
        <v>-368227808.477</v>
      </c>
    </row>
    <row r="10" spans="1:14" ht="18" customHeight="1" x14ac:dyDescent="0.25">
      <c r="A10" s="68">
        <v>1</v>
      </c>
      <c r="B10" s="69" t="s">
        <v>416</v>
      </c>
      <c r="C10" s="70">
        <v>200313</v>
      </c>
      <c r="D10" s="70">
        <f>'61_TT342'!H10</f>
        <v>0</v>
      </c>
      <c r="E10" s="71">
        <f t="shared" ref="E10:E36" si="0">D10/C10%</f>
        <v>0</v>
      </c>
      <c r="F10" s="46">
        <f>'61_TT342'!H10</f>
        <v>0</v>
      </c>
      <c r="G10" s="45">
        <f>F10-D10</f>
        <v>0</v>
      </c>
    </row>
    <row r="11" spans="1:14" ht="18" customHeight="1" x14ac:dyDescent="0.25">
      <c r="A11" s="68">
        <v>2</v>
      </c>
      <c r="B11" s="69" t="s">
        <v>58</v>
      </c>
      <c r="C11" s="70">
        <f>C12+C13</f>
        <v>263971</v>
      </c>
      <c r="D11" s="70">
        <f>D12+D13</f>
        <v>0</v>
      </c>
      <c r="E11" s="71">
        <f t="shared" si="0"/>
        <v>0</v>
      </c>
      <c r="F11" s="46"/>
      <c r="G11" s="46">
        <f>D9-D29</f>
        <v>-368227808.477</v>
      </c>
    </row>
    <row r="12" spans="1:14" ht="18" customHeight="1" x14ac:dyDescent="0.25">
      <c r="A12" s="68" t="s">
        <v>23</v>
      </c>
      <c r="B12" s="69" t="s">
        <v>417</v>
      </c>
      <c r="C12" s="89">
        <v>225856</v>
      </c>
      <c r="D12" s="70">
        <f>'61_TT342'!H37</f>
        <v>0</v>
      </c>
      <c r="E12" s="71">
        <f t="shared" si="0"/>
        <v>0</v>
      </c>
      <c r="F12" s="46">
        <f>D11-D20</f>
        <v>0</v>
      </c>
      <c r="G12" s="172">
        <f>'60_TT342'!C9</f>
        <v>0</v>
      </c>
    </row>
    <row r="13" spans="1:14" ht="18" customHeight="1" x14ac:dyDescent="0.25">
      <c r="A13" s="68" t="s">
        <v>23</v>
      </c>
      <c r="B13" s="69" t="s">
        <v>104</v>
      </c>
      <c r="C13" s="857">
        <v>38115</v>
      </c>
      <c r="D13" s="70">
        <f>'61_TT342'!H38</f>
        <v>0</v>
      </c>
      <c r="E13" s="71">
        <f t="shared" si="0"/>
        <v>0</v>
      </c>
      <c r="G13" s="172"/>
    </row>
    <row r="14" spans="1:14" ht="18" customHeight="1" x14ac:dyDescent="0.25">
      <c r="A14" s="68">
        <v>3</v>
      </c>
      <c r="B14" s="69" t="s">
        <v>488</v>
      </c>
      <c r="C14" s="70"/>
      <c r="D14" s="70">
        <f>'61_TT342'!H41</f>
        <v>0</v>
      </c>
      <c r="E14" s="67"/>
      <c r="G14" s="147">
        <f>'61_TT342'!H41</f>
        <v>0</v>
      </c>
    </row>
    <row r="15" spans="1:14" ht="18" customHeight="1" x14ac:dyDescent="0.25">
      <c r="A15" s="68">
        <v>4</v>
      </c>
      <c r="B15" s="69" t="s">
        <v>61</v>
      </c>
      <c r="C15" s="70"/>
      <c r="D15" s="70">
        <f>'61_TT342'!H43</f>
        <v>0</v>
      </c>
      <c r="E15" s="67"/>
      <c r="F15" s="46">
        <f>C9-C18</f>
        <v>42127.083800000022</v>
      </c>
    </row>
    <row r="16" spans="1:14" ht="18" customHeight="1" x14ac:dyDescent="0.25">
      <c r="A16" s="68">
        <v>5</v>
      </c>
      <c r="B16" s="69" t="s">
        <v>62</v>
      </c>
      <c r="C16" s="70"/>
      <c r="D16" s="70">
        <f>'61_TT342'!H42</f>
        <v>0</v>
      </c>
      <c r="E16" s="67"/>
      <c r="F16" s="46"/>
      <c r="G16" s="46">
        <f>D11-D29</f>
        <v>-368728607.75400001</v>
      </c>
    </row>
    <row r="17" spans="1:7" ht="18" customHeight="1" x14ac:dyDescent="0.25">
      <c r="A17" s="68">
        <v>6</v>
      </c>
      <c r="B17" s="69" t="s">
        <v>99</v>
      </c>
      <c r="C17" s="70"/>
      <c r="D17" s="70">
        <f>'61_TT342'!E34</f>
        <v>500799.277</v>
      </c>
      <c r="E17" s="67"/>
    </row>
    <row r="18" spans="1:7" s="44" customFormat="1" ht="18" customHeight="1" x14ac:dyDescent="0.2">
      <c r="A18" s="65" t="s">
        <v>11</v>
      </c>
      <c r="B18" s="66" t="s">
        <v>418</v>
      </c>
      <c r="C18" s="234">
        <f>C19+C20+C23+C24</f>
        <v>422156.91619999998</v>
      </c>
      <c r="D18" s="234">
        <f>D19+D20+D23+D24</f>
        <v>364321922.25300002</v>
      </c>
      <c r="E18" s="67">
        <f t="shared" si="0"/>
        <v>86300.119285597539</v>
      </c>
      <c r="F18" s="44">
        <f>'62_TT342'!F9</f>
        <v>14888322.662999999</v>
      </c>
      <c r="G18" s="45">
        <f>F18-D18</f>
        <v>-349433599.59000003</v>
      </c>
    </row>
    <row r="19" spans="1:7" ht="18" customHeight="1" x14ac:dyDescent="0.25">
      <c r="A19" s="68">
        <v>1</v>
      </c>
      <c r="B19" s="69" t="s">
        <v>507</v>
      </c>
      <c r="C19" s="685">
        <v>386271.91619999998</v>
      </c>
      <c r="D19" s="70">
        <f>'52_NĐ31'!D11-'52_NĐ31'!D50</f>
        <v>327662680.546</v>
      </c>
      <c r="E19" s="71">
        <f t="shared" si="0"/>
        <v>84826.94879022635</v>
      </c>
      <c r="F19" s="147"/>
    </row>
    <row r="20" spans="1:7" ht="18" customHeight="1" x14ac:dyDescent="0.25">
      <c r="A20" s="68">
        <v>2</v>
      </c>
      <c r="B20" s="69" t="s">
        <v>419</v>
      </c>
      <c r="C20" s="685">
        <f>C21+C22</f>
        <v>35885</v>
      </c>
      <c r="D20" s="70">
        <f>D21+D22</f>
        <v>0</v>
      </c>
      <c r="E20" s="71">
        <f t="shared" si="0"/>
        <v>0</v>
      </c>
      <c r="F20" s="174"/>
      <c r="G20" s="338">
        <v>386271.91619999998</v>
      </c>
    </row>
    <row r="21" spans="1:7" ht="18" customHeight="1" x14ac:dyDescent="0.25">
      <c r="A21" s="68" t="s">
        <v>23</v>
      </c>
      <c r="B21" s="69" t="s">
        <v>420</v>
      </c>
      <c r="C21" s="858">
        <v>33753.599999999999</v>
      </c>
      <c r="D21" s="70">
        <f>'62_TT342'!F79</f>
        <v>0</v>
      </c>
      <c r="E21" s="71">
        <f t="shared" si="0"/>
        <v>0</v>
      </c>
      <c r="F21" s="46"/>
      <c r="G21" s="338">
        <f>G20-C19</f>
        <v>0</v>
      </c>
    </row>
    <row r="22" spans="1:7" ht="18" customHeight="1" x14ac:dyDescent="0.25">
      <c r="A22" s="68" t="s">
        <v>23</v>
      </c>
      <c r="B22" s="69" t="s">
        <v>421</v>
      </c>
      <c r="C22" s="858">
        <v>2131.4</v>
      </c>
      <c r="D22" s="70">
        <f>'62_TT342'!F81</f>
        <v>0</v>
      </c>
      <c r="E22" s="71">
        <f t="shared" si="0"/>
        <v>0</v>
      </c>
    </row>
    <row r="23" spans="1:7" ht="18" customHeight="1" x14ac:dyDescent="0.25">
      <c r="A23" s="68">
        <v>3</v>
      </c>
      <c r="B23" s="69" t="s">
        <v>489</v>
      </c>
      <c r="C23" s="70"/>
      <c r="D23" s="70">
        <f>'62_TT342'!F83</f>
        <v>0</v>
      </c>
      <c r="E23" s="67"/>
    </row>
    <row r="24" spans="1:7" ht="18" customHeight="1" x14ac:dyDescent="0.25">
      <c r="A24" s="68">
        <v>4</v>
      </c>
      <c r="B24" s="69" t="s">
        <v>65</v>
      </c>
      <c r="C24" s="70"/>
      <c r="D24" s="70">
        <f>'54_NĐ31'!I38</f>
        <v>36659241.707000002</v>
      </c>
      <c r="E24" s="67"/>
    </row>
    <row r="25" spans="1:7" s="44" customFormat="1" ht="18" customHeight="1" x14ac:dyDescent="0.2">
      <c r="A25" s="76" t="s">
        <v>17</v>
      </c>
      <c r="B25" s="77" t="s">
        <v>500</v>
      </c>
      <c r="C25" s="78"/>
      <c r="D25" s="413">
        <f>D9-D18</f>
        <v>-363821122.97600001</v>
      </c>
      <c r="E25" s="79"/>
      <c r="F25" s="173">
        <f>'60_TT342'!G19</f>
        <v>0</v>
      </c>
      <c r="G25" s="45">
        <f>D18+D27</f>
        <v>741398360.34700012</v>
      </c>
    </row>
    <row r="26" spans="1:7" s="44" customFormat="1" ht="18" customHeight="1" x14ac:dyDescent="0.2">
      <c r="A26" s="5" t="s">
        <v>4</v>
      </c>
      <c r="B26" s="84" t="s">
        <v>499</v>
      </c>
      <c r="C26" s="257"/>
      <c r="D26" s="85"/>
      <c r="E26" s="86"/>
      <c r="F26" s="45">
        <f>D25-F25</f>
        <v>-363821122.97600001</v>
      </c>
      <c r="G26" s="45">
        <f>G25-D29</f>
        <v>372669752.59300011</v>
      </c>
    </row>
    <row r="27" spans="1:7" s="44" customFormat="1" ht="18" customHeight="1" x14ac:dyDescent="0.2">
      <c r="A27" s="80" t="s">
        <v>5</v>
      </c>
      <c r="B27" s="81" t="s">
        <v>415</v>
      </c>
      <c r="C27" s="856">
        <f>C28+C29+C32+C33</f>
        <v>49052</v>
      </c>
      <c r="D27" s="82">
        <f>D28+D29+D32+D33+D34</f>
        <v>377076438.09400004</v>
      </c>
      <c r="E27" s="83">
        <f t="shared" si="0"/>
        <v>768727.95827693073</v>
      </c>
      <c r="F27" s="44" t="e">
        <f>'5.13'!C8</f>
        <v>#REF!</v>
      </c>
      <c r="G27" s="45" t="e">
        <f>F27-D27</f>
        <v>#REF!</v>
      </c>
    </row>
    <row r="28" spans="1:7" ht="18" customHeight="1" x14ac:dyDescent="0.25">
      <c r="A28" s="68">
        <v>1</v>
      </c>
      <c r="B28" s="69" t="s">
        <v>416</v>
      </c>
      <c r="C28" s="685">
        <v>13167</v>
      </c>
      <c r="D28" s="70">
        <f>'61_TT342'!I10</f>
        <v>2602455.8850000002</v>
      </c>
      <c r="E28" s="71">
        <f t="shared" si="0"/>
        <v>19764.987354750516</v>
      </c>
    </row>
    <row r="29" spans="1:7" ht="18" customHeight="1" x14ac:dyDescent="0.25">
      <c r="A29" s="68">
        <v>2</v>
      </c>
      <c r="B29" s="69" t="s">
        <v>58</v>
      </c>
      <c r="C29" s="685">
        <f>C30+C31</f>
        <v>35885</v>
      </c>
      <c r="D29" s="70">
        <f>D30+D31</f>
        <v>368728607.75400001</v>
      </c>
      <c r="E29" s="71">
        <f t="shared" si="0"/>
        <v>1027528.5154075519</v>
      </c>
    </row>
    <row r="30" spans="1:7" ht="18" customHeight="1" x14ac:dyDescent="0.25">
      <c r="A30" s="68" t="s">
        <v>23</v>
      </c>
      <c r="B30" s="69" t="s">
        <v>59</v>
      </c>
      <c r="C30" s="70">
        <f>C21</f>
        <v>33753.599999999999</v>
      </c>
      <c r="D30" s="412">
        <f>'61_TT342'!I37</f>
        <v>256253874.59200001</v>
      </c>
      <c r="E30" s="71">
        <f t="shared" si="0"/>
        <v>759189.75929086085</v>
      </c>
      <c r="F30" s="46"/>
    </row>
    <row r="31" spans="1:7" ht="18" customHeight="1" x14ac:dyDescent="0.25">
      <c r="A31" s="68" t="s">
        <v>23</v>
      </c>
      <c r="B31" s="69" t="s">
        <v>60</v>
      </c>
      <c r="C31" s="70">
        <f>C22</f>
        <v>2131.4</v>
      </c>
      <c r="D31" s="70">
        <f>'61_TT342'!I39</f>
        <v>112474733.162</v>
      </c>
      <c r="E31" s="71">
        <f t="shared" si="0"/>
        <v>5277035.4303274844</v>
      </c>
    </row>
    <row r="32" spans="1:7" ht="18" customHeight="1" x14ac:dyDescent="0.25">
      <c r="A32" s="68">
        <v>3</v>
      </c>
      <c r="B32" s="69" t="s">
        <v>488</v>
      </c>
      <c r="C32" s="685"/>
      <c r="D32" s="412"/>
      <c r="E32" s="67"/>
    </row>
    <row r="33" spans="1:8" ht="18" customHeight="1" x14ac:dyDescent="0.25">
      <c r="A33" s="68">
        <v>4</v>
      </c>
      <c r="B33" s="69" t="s">
        <v>61</v>
      </c>
      <c r="C33" s="685"/>
      <c r="D33" s="70">
        <f>'61_TT342'!I43</f>
        <v>474795.33199999999</v>
      </c>
      <c r="E33" s="67"/>
      <c r="F33" s="46">
        <f>D25+D40</f>
        <v>-346688897.35199994</v>
      </c>
    </row>
    <row r="34" spans="1:8" ht="18" customHeight="1" x14ac:dyDescent="0.25">
      <c r="A34" s="68">
        <v>5</v>
      </c>
      <c r="B34" s="69" t="s">
        <v>62</v>
      </c>
      <c r="C34" s="685"/>
      <c r="D34" s="70">
        <f>'61_TT342'!I42</f>
        <v>5270579.1229999997</v>
      </c>
      <c r="E34" s="67"/>
    </row>
    <row r="35" spans="1:8" s="44" customFormat="1" ht="18" customHeight="1" x14ac:dyDescent="0.2">
      <c r="A35" s="65" t="s">
        <v>11</v>
      </c>
      <c r="B35" s="66" t="s">
        <v>418</v>
      </c>
      <c r="C35" s="687">
        <f>C36+C37+C38</f>
        <v>49052</v>
      </c>
      <c r="D35" s="180">
        <f>SUM(D36:D39)</f>
        <v>359944212.46999997</v>
      </c>
      <c r="E35" s="67">
        <f t="shared" si="0"/>
        <v>733801.29754138459</v>
      </c>
      <c r="G35" s="44" t="e">
        <f>'5.11'!G10</f>
        <v>#REF!</v>
      </c>
      <c r="H35" s="45" t="e">
        <f>G35-D35</f>
        <v>#REF!</v>
      </c>
    </row>
    <row r="36" spans="1:8" ht="18" customHeight="1" x14ac:dyDescent="0.25">
      <c r="A36" s="68">
        <v>1</v>
      </c>
      <c r="B36" s="69" t="s">
        <v>506</v>
      </c>
      <c r="C36" s="685">
        <f>C27</f>
        <v>49052</v>
      </c>
      <c r="D36" s="70">
        <f>'62_TT342'!G10-'62_TT342'!G77</f>
        <v>312774357.88299996</v>
      </c>
      <c r="E36" s="71">
        <f t="shared" si="0"/>
        <v>637638.3386671287</v>
      </c>
    </row>
    <row r="37" spans="1:8" ht="18" customHeight="1" x14ac:dyDescent="0.25">
      <c r="A37" s="68">
        <v>2</v>
      </c>
      <c r="B37" s="69" t="s">
        <v>489</v>
      </c>
      <c r="C37" s="70"/>
      <c r="D37" s="70">
        <f>'62_TT342'!G83</f>
        <v>10510612.880000001</v>
      </c>
      <c r="E37" s="67"/>
    </row>
    <row r="38" spans="1:8" ht="18" customHeight="1" x14ac:dyDescent="0.25">
      <c r="A38" s="68">
        <v>3</v>
      </c>
      <c r="B38" s="69" t="s">
        <v>65</v>
      </c>
      <c r="C38" s="70"/>
      <c r="D38" s="70">
        <f>'62_TT342'!G77</f>
        <v>36659241.707000002</v>
      </c>
      <c r="E38" s="67"/>
    </row>
    <row r="39" spans="1:8" ht="18" customHeight="1" x14ac:dyDescent="0.25">
      <c r="A39" s="598">
        <v>4</v>
      </c>
      <c r="B39" s="599" t="s">
        <v>75</v>
      </c>
      <c r="C39" s="600"/>
      <c r="D39" s="600"/>
      <c r="E39" s="79"/>
    </row>
    <row r="40" spans="1:8" s="44" customFormat="1" ht="18" customHeight="1" x14ac:dyDescent="0.2">
      <c r="A40" s="72" t="s">
        <v>17</v>
      </c>
      <c r="B40" s="73" t="s">
        <v>422</v>
      </c>
      <c r="C40" s="74"/>
      <c r="D40" s="74">
        <f>D27-D35</f>
        <v>17132225.624000072</v>
      </c>
      <c r="E40" s="75"/>
      <c r="F40" s="44" t="e">
        <f>'5.13'!J8</f>
        <v>#REF!</v>
      </c>
      <c r="G40" s="47" t="e">
        <f>F40-D40</f>
        <v>#REF!</v>
      </c>
    </row>
  </sheetData>
  <mergeCells count="2">
    <mergeCell ref="A3:E3"/>
    <mergeCell ref="A4:E4"/>
  </mergeCells>
  <printOptions horizontalCentered="1"/>
  <pageMargins left="0.59055118110236227" right="0.39370078740157483" top="0.74803149606299213" bottom="0.55118110236220474" header="0.31496062992125984" footer="0.31496062992125984"/>
  <pageSetup paperSize="9" firstPageNumber="18" orientation="portrait" useFirstPageNumber="1" r:id="rId1"/>
  <headerFooter>
    <oddHeader>&amp;RBiểu số 5.2</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W35"/>
  <sheetViews>
    <sheetView view="pageBreakPreview" topLeftCell="A7" zoomScaleNormal="100" zoomScaleSheetLayoutView="100" workbookViewId="0">
      <selection activeCell="E30" sqref="E30:F30"/>
    </sheetView>
  </sheetViews>
  <sheetFormatPr defaultColWidth="9.140625" defaultRowHeight="15.75" x14ac:dyDescent="0.25"/>
  <cols>
    <col min="1" max="1" width="4.5703125" style="102" customWidth="1"/>
    <col min="2" max="2" width="45.5703125" style="102" customWidth="1"/>
    <col min="3" max="4" width="12" style="102" customWidth="1"/>
    <col min="5" max="5" width="15" style="102" customWidth="1"/>
    <col min="6" max="6" width="14.28515625" style="102" customWidth="1"/>
    <col min="7" max="7" width="10.140625" style="102" customWidth="1"/>
    <col min="8" max="8" width="9.28515625" style="102" customWidth="1"/>
    <col min="9" max="9" width="14.42578125" style="102" hidden="1" customWidth="1"/>
    <col min="10" max="10" width="15.42578125" style="371" hidden="1" customWidth="1"/>
    <col min="11" max="11" width="10.85546875" style="372" hidden="1" customWidth="1"/>
    <col min="12" max="12" width="16.42578125" style="373" hidden="1" customWidth="1"/>
    <col min="13" max="13" width="13.7109375" style="102" hidden="1" customWidth="1"/>
    <col min="14" max="14" width="9.140625" style="102" hidden="1" customWidth="1"/>
    <col min="15" max="15" width="11.28515625" style="102" hidden="1" customWidth="1"/>
    <col min="16" max="16" width="12.7109375" style="102" hidden="1" customWidth="1"/>
    <col min="17" max="17" width="13" style="102" hidden="1" customWidth="1"/>
    <col min="18" max="18" width="13.7109375" style="102" hidden="1" customWidth="1"/>
    <col min="19" max="19" width="9.140625" style="102" hidden="1" customWidth="1"/>
    <col min="20" max="20" width="17.28515625" style="102" hidden="1" customWidth="1"/>
    <col min="21" max="21" width="16.85546875" style="102" hidden="1" customWidth="1"/>
    <col min="22" max="22" width="16" style="102" hidden="1" customWidth="1"/>
    <col min="23" max="16384" width="9.140625" style="102"/>
  </cols>
  <sheetData>
    <row r="1" spans="1:23" ht="23.25" customHeight="1" x14ac:dyDescent="0.25">
      <c r="A1" s="3130" t="str">
        <f>'48_NĐ31'!A1</f>
        <v xml:space="preserve">UBND PHƯỜNG BẮC KẠN </v>
      </c>
      <c r="B1" s="3130"/>
      <c r="C1" s="3130"/>
      <c r="G1" s="3141" t="s">
        <v>961</v>
      </c>
      <c r="H1" s="3141"/>
      <c r="W1" s="36"/>
    </row>
    <row r="2" spans="1:23" ht="23.25" hidden="1" customHeight="1" x14ac:dyDescent="0.25">
      <c r="A2" s="3129" t="s">
        <v>1498</v>
      </c>
      <c r="B2" s="3129"/>
      <c r="C2" s="3129"/>
      <c r="D2" s="3129"/>
      <c r="E2" s="3129"/>
      <c r="F2" s="3129"/>
      <c r="G2" s="3129"/>
      <c r="H2" s="3129"/>
      <c r="W2" s="36"/>
    </row>
    <row r="3" spans="1:23" ht="27.75" customHeight="1" x14ac:dyDescent="0.25">
      <c r="A3" s="3132" t="s">
        <v>1384</v>
      </c>
      <c r="B3" s="3132"/>
      <c r="C3" s="3132"/>
      <c r="D3" s="3132"/>
      <c r="E3" s="3132"/>
      <c r="F3" s="3132"/>
      <c r="G3" s="3132"/>
      <c r="H3" s="3132"/>
    </row>
    <row r="4" spans="1:23" ht="25.5" customHeight="1" x14ac:dyDescent="0.25">
      <c r="A4" s="3140" t="str">
        <f>'5.2'!A4:E4</f>
        <v>(Kèm theo Quyết định số          /QĐ-UBND ngày          /4/2026 của UBND phường Bắc Kạn)</v>
      </c>
      <c r="B4" s="3140"/>
      <c r="C4" s="3140"/>
      <c r="D4" s="3140"/>
      <c r="E4" s="3140"/>
      <c r="F4" s="3140"/>
      <c r="G4" s="3140"/>
      <c r="H4" s="3140"/>
    </row>
    <row r="5" spans="1:23" ht="22.5" customHeight="1" x14ac:dyDescent="0.25">
      <c r="H5" s="64" t="s">
        <v>1187</v>
      </c>
    </row>
    <row r="6" spans="1:23" ht="30.75" customHeight="1" x14ac:dyDescent="0.25">
      <c r="A6" s="3134" t="s">
        <v>0</v>
      </c>
      <c r="B6" s="3134" t="s">
        <v>1</v>
      </c>
      <c r="C6" s="3134" t="s">
        <v>2</v>
      </c>
      <c r="D6" s="3134"/>
      <c r="E6" s="3134" t="s">
        <v>400</v>
      </c>
      <c r="F6" s="3134"/>
      <c r="G6" s="3134" t="s">
        <v>414</v>
      </c>
      <c r="H6" s="3134"/>
      <c r="J6" s="371" t="s">
        <v>709</v>
      </c>
      <c r="L6" s="375">
        <f>C28/C9%</f>
        <v>39.823844890484423</v>
      </c>
    </row>
    <row r="7" spans="1:23" ht="40.5" customHeight="1" x14ac:dyDescent="0.25">
      <c r="A7" s="3134"/>
      <c r="B7" s="3134"/>
      <c r="C7" s="5" t="s">
        <v>423</v>
      </c>
      <c r="D7" s="5" t="s">
        <v>424</v>
      </c>
      <c r="E7" s="5" t="s">
        <v>423</v>
      </c>
      <c r="F7" s="5" t="s">
        <v>424</v>
      </c>
      <c r="G7" s="5" t="s">
        <v>423</v>
      </c>
      <c r="H7" s="5" t="s">
        <v>424</v>
      </c>
      <c r="I7" s="373"/>
      <c r="J7" s="371" t="s">
        <v>423</v>
      </c>
      <c r="L7" s="373">
        <f>J9*17%</f>
        <v>38173.517000000007</v>
      </c>
      <c r="M7" s="374">
        <f>E9-J9</f>
        <v>69840064.964000002</v>
      </c>
      <c r="U7" s="373"/>
    </row>
    <row r="8" spans="1:23" s="1461" customFormat="1" ht="24" customHeight="1" x14ac:dyDescent="0.25">
      <c r="A8" s="1456" t="s">
        <v>3</v>
      </c>
      <c r="B8" s="1456" t="s">
        <v>4</v>
      </c>
      <c r="C8" s="1456">
        <v>1</v>
      </c>
      <c r="D8" s="1456">
        <v>2</v>
      </c>
      <c r="E8" s="1456">
        <v>3</v>
      </c>
      <c r="F8" s="1456">
        <v>4</v>
      </c>
      <c r="G8" s="1456" t="s">
        <v>425</v>
      </c>
      <c r="H8" s="1456" t="s">
        <v>426</v>
      </c>
      <c r="I8" s="1457"/>
      <c r="J8" s="1458"/>
      <c r="K8" s="1459"/>
      <c r="L8" s="1460">
        <f>E9/J9</f>
        <v>312.02219488657533</v>
      </c>
      <c r="M8" s="1461">
        <f>M7/J9</f>
        <v>311.02219488657539</v>
      </c>
      <c r="U8" s="1457"/>
      <c r="V8" s="1462"/>
    </row>
    <row r="9" spans="1:23" s="2197" customFormat="1" ht="37.5" customHeight="1" x14ac:dyDescent="0.2">
      <c r="A9" s="2054"/>
      <c r="B9" s="2194" t="s">
        <v>575</v>
      </c>
      <c r="C9" s="2195">
        <f>SUM(C10,C33,C34)</f>
        <v>68803000</v>
      </c>
      <c r="D9" s="2195">
        <f>SUM(D10,D33,D34)</f>
        <v>68803000</v>
      </c>
      <c r="E9" s="2056">
        <f>SUM(E10,E33,E34)</f>
        <v>70064615.063999996</v>
      </c>
      <c r="F9" s="2056">
        <f>SUM(F10,F33,F34)</f>
        <v>8848629.6170000006</v>
      </c>
      <c r="G9" s="2196">
        <f>E9/C9*100</f>
        <v>101.83366286935163</v>
      </c>
      <c r="H9" s="2196">
        <f>F9/D9*100</f>
        <v>12.86081946572097</v>
      </c>
      <c r="J9" s="2198">
        <f>J10+J33+J34</f>
        <v>224550.10000000003</v>
      </c>
      <c r="K9" s="2199">
        <f>E9/J9</f>
        <v>312.02219488657533</v>
      </c>
      <c r="L9" s="2200">
        <f>C9-E9</f>
        <v>-1261615.0639999956</v>
      </c>
      <c r="M9" s="2201">
        <f>D9-F9</f>
        <v>59954370.383000001</v>
      </c>
      <c r="S9" s="2201"/>
      <c r="U9" s="2200">
        <f>F9-D9</f>
        <v>-59954370.383000001</v>
      </c>
    </row>
    <row r="10" spans="1:23" s="2197" customFormat="1" ht="31.5" customHeight="1" x14ac:dyDescent="0.2">
      <c r="A10" s="2054" t="s">
        <v>3</v>
      </c>
      <c r="B10" s="2194" t="s">
        <v>427</v>
      </c>
      <c r="C10" s="2195">
        <f>SUM(C11,C31,C32)</f>
        <v>68803000</v>
      </c>
      <c r="D10" s="2195">
        <f>SUM(D11,D31,D32)</f>
        <v>68803000</v>
      </c>
      <c r="E10" s="2056">
        <f>SUM(E11,E31,E32)</f>
        <v>70064615.063999996</v>
      </c>
      <c r="F10" s="2056">
        <f>SUM(F11,F31,F32)</f>
        <v>3103255.1620000005</v>
      </c>
      <c r="G10" s="2196">
        <f t="shared" ref="G10:H25" si="0">E10/C10*100</f>
        <v>101.83366286935163</v>
      </c>
      <c r="H10" s="2196">
        <f t="shared" si="0"/>
        <v>4.5103486214263917</v>
      </c>
      <c r="I10" s="2199"/>
      <c r="J10" s="2198">
        <f>J11+J31+J32</f>
        <v>224550.10000000003</v>
      </c>
      <c r="K10" s="2199">
        <f t="shared" ref="K10:K24" si="1">E10/J10</f>
        <v>312.02219488657533</v>
      </c>
      <c r="L10" s="2200"/>
      <c r="U10" s="2200"/>
      <c r="V10" s="2201"/>
    </row>
    <row r="11" spans="1:23" s="1584" customFormat="1" ht="28.5" customHeight="1" x14ac:dyDescent="0.25">
      <c r="A11" s="2202" t="s">
        <v>5</v>
      </c>
      <c r="B11" s="2203" t="s">
        <v>6</v>
      </c>
      <c r="C11" s="2204">
        <f>SUM(C12,C15,C19,C24,C25,C26,C27,C28,C30)</f>
        <v>68803000</v>
      </c>
      <c r="D11" s="2204">
        <f>SUM(D12,D15,D19,D24,D25,D26,D27,D28,D30)</f>
        <v>68803000</v>
      </c>
      <c r="E11" s="2234">
        <f>SUM(E12,E15,E19,E24,E25,E26,E27,E28,E29,E30)</f>
        <v>69563815.787</v>
      </c>
      <c r="F11" s="2234">
        <f>SUM(F12,F15,F19,F24,F25,F26,F27,F28,F30)</f>
        <v>2602455.8850000002</v>
      </c>
      <c r="G11" s="2205">
        <f t="shared" si="0"/>
        <v>101.10578868217956</v>
      </c>
      <c r="H11" s="2205">
        <f t="shared" si="0"/>
        <v>3.7824744342543211</v>
      </c>
      <c r="I11" s="2206"/>
      <c r="J11" s="2207">
        <f>J12+J15+J19+J24+J25+J26+J27+J28+J30+J33</f>
        <v>223479.40000000002</v>
      </c>
      <c r="K11" s="2199">
        <f>E11/J11</f>
        <v>311.27618826164735</v>
      </c>
      <c r="L11" s="2208">
        <f>E9-J10</f>
        <v>69840064.964000002</v>
      </c>
      <c r="O11" s="3139" t="s">
        <v>685</v>
      </c>
      <c r="P11" s="3139"/>
      <c r="Q11" s="3139"/>
      <c r="R11" s="3139"/>
      <c r="U11" s="2208">
        <f>U10+U9</f>
        <v>-59954370.383000001</v>
      </c>
    </row>
    <row r="12" spans="1:23" s="1584" customFormat="1" ht="15" x14ac:dyDescent="0.25">
      <c r="A12" s="2158">
        <v>1</v>
      </c>
      <c r="B12" s="2209" t="s">
        <v>538</v>
      </c>
      <c r="C12" s="2210">
        <f>SUM(C13:C14)</f>
        <v>75000</v>
      </c>
      <c r="D12" s="2210">
        <f>SUM(D13:D14)</f>
        <v>75000</v>
      </c>
      <c r="E12" s="2113">
        <f>SUM(E13:E14)</f>
        <v>71050.218999999997</v>
      </c>
      <c r="F12" s="2211">
        <f>SUM(F13:F14)</f>
        <v>0</v>
      </c>
      <c r="G12" s="2212">
        <f>E12/C12*100</f>
        <v>94.733625333333322</v>
      </c>
      <c r="H12" s="2212">
        <f t="shared" si="0"/>
        <v>0</v>
      </c>
      <c r="I12" s="2206"/>
      <c r="J12" s="2213">
        <f>J13+J14</f>
        <v>160.20000000000002</v>
      </c>
      <c r="K12" s="2214">
        <f>E12/J12</f>
        <v>443.50948189762789</v>
      </c>
      <c r="L12" s="2215" t="e">
        <f>J12/F12</f>
        <v>#DIV/0!</v>
      </c>
      <c r="M12" s="2206"/>
      <c r="O12" s="3139"/>
      <c r="P12" s="3139"/>
      <c r="Q12" s="3139"/>
      <c r="R12" s="3139"/>
      <c r="U12" s="2208"/>
      <c r="V12" s="2206"/>
    </row>
    <row r="13" spans="1:23" s="1584" customFormat="1" ht="18" customHeight="1" x14ac:dyDescent="0.25">
      <c r="A13" s="2158" t="s">
        <v>514</v>
      </c>
      <c r="B13" s="1599" t="s">
        <v>533</v>
      </c>
      <c r="C13" s="2216">
        <v>75000</v>
      </c>
      <c r="D13" s="2217">
        <f t="shared" ref="D13:D18" si="2">C13</f>
        <v>75000</v>
      </c>
      <c r="E13" s="2061">
        <f>'61_TT342'!E12</f>
        <v>71050.218999999997</v>
      </c>
      <c r="F13" s="2059">
        <f>'61_TT342'!H12</f>
        <v>0</v>
      </c>
      <c r="G13" s="2218">
        <f>E13/C13*100</f>
        <v>94.733625333333322</v>
      </c>
      <c r="H13" s="2218">
        <f t="shared" si="0"/>
        <v>0</v>
      </c>
      <c r="J13" s="2207">
        <v>152.4</v>
      </c>
      <c r="K13" s="2199">
        <f t="shared" si="1"/>
        <v>466.2087860892388</v>
      </c>
      <c r="L13" s="2215">
        <f>F12/J12%</f>
        <v>0</v>
      </c>
      <c r="T13" s="2206">
        <f>F13+F16+F20</f>
        <v>0</v>
      </c>
      <c r="U13" s="2208"/>
      <c r="V13" s="2208"/>
    </row>
    <row r="14" spans="1:23" s="1584" customFormat="1" ht="31.5" customHeight="1" x14ac:dyDescent="0.25">
      <c r="A14" s="2158" t="s">
        <v>514</v>
      </c>
      <c r="B14" s="1599" t="s">
        <v>15</v>
      </c>
      <c r="C14" s="2216"/>
      <c r="D14" s="2059">
        <f t="shared" si="2"/>
        <v>0</v>
      </c>
      <c r="E14" s="2060">
        <f>'61_TT342'!E13</f>
        <v>0</v>
      </c>
      <c r="F14" s="2059">
        <f>'61_TT342'!H13</f>
        <v>0</v>
      </c>
      <c r="G14" s="2218"/>
      <c r="H14" s="2218"/>
      <c r="I14" s="2206"/>
      <c r="J14" s="2207">
        <v>7.8</v>
      </c>
      <c r="K14" s="2199">
        <f t="shared" si="1"/>
        <v>0</v>
      </c>
      <c r="L14" s="2215"/>
      <c r="O14" s="2219">
        <v>1</v>
      </c>
      <c r="P14" s="1584" t="s">
        <v>686</v>
      </c>
      <c r="T14" s="2206">
        <f>F14+F17+F21</f>
        <v>0</v>
      </c>
      <c r="U14" s="2220"/>
      <c r="V14" s="2208"/>
    </row>
    <row r="15" spans="1:23" s="1584" customFormat="1" ht="15" x14ac:dyDescent="0.25">
      <c r="A15" s="2158">
        <v>2</v>
      </c>
      <c r="B15" s="2209" t="s">
        <v>539</v>
      </c>
      <c r="C15" s="2221">
        <f>SUM(C16:C18)</f>
        <v>145000</v>
      </c>
      <c r="D15" s="2210">
        <f t="shared" si="2"/>
        <v>145000</v>
      </c>
      <c r="E15" s="2113">
        <f>SUM(E16:E18)</f>
        <v>815571.32900000003</v>
      </c>
      <c r="F15" s="2211">
        <f>SUM(F16:F18)</f>
        <v>0</v>
      </c>
      <c r="G15" s="2212">
        <f t="shared" ref="G15:H30" si="3">E15/C15*100</f>
        <v>562.46298551724146</v>
      </c>
      <c r="H15" s="2212">
        <f t="shared" si="0"/>
        <v>0</v>
      </c>
      <c r="J15" s="2198">
        <f>J16+J17+J18</f>
        <v>667.30000000000007</v>
      </c>
      <c r="K15" s="2199">
        <f>E15/J15</f>
        <v>1222.1959073879814</v>
      </c>
      <c r="L15" s="2215">
        <f>E15/J15</f>
        <v>1222.1959073879814</v>
      </c>
      <c r="O15" s="2206">
        <f>F12+F15+F19+F24+F25+F26+F30-P24-P25</f>
        <v>2602455.8850000002</v>
      </c>
      <c r="P15" s="2206">
        <f>F27+F28+P24+P25</f>
        <v>0</v>
      </c>
      <c r="Q15" s="2206">
        <f>P15+O15</f>
        <v>2602455.8850000002</v>
      </c>
      <c r="U15" s="2220"/>
      <c r="V15" s="2208"/>
    </row>
    <row r="16" spans="1:23" s="1584" customFormat="1" ht="22.5" customHeight="1" x14ac:dyDescent="0.25">
      <c r="A16" s="2158" t="s">
        <v>514</v>
      </c>
      <c r="B16" s="1599" t="s">
        <v>533</v>
      </c>
      <c r="C16" s="2216">
        <v>55000</v>
      </c>
      <c r="D16" s="2217">
        <f t="shared" si="2"/>
        <v>55000</v>
      </c>
      <c r="E16" s="2061">
        <f>'61_TT342'!E15</f>
        <v>456818.81300000002</v>
      </c>
      <c r="F16" s="2059">
        <f>'61_TT342'!H15+'61_TT342'!I15</f>
        <v>0</v>
      </c>
      <c r="G16" s="2218">
        <f t="shared" si="3"/>
        <v>830.5796600000001</v>
      </c>
      <c r="H16" s="2218">
        <f t="shared" si="0"/>
        <v>0</v>
      </c>
      <c r="J16" s="2207">
        <v>232.3</v>
      </c>
      <c r="K16" s="2199">
        <f t="shared" si="1"/>
        <v>1966.5037150236762</v>
      </c>
      <c r="L16" s="2208">
        <f>J15-E15</f>
        <v>-814904.02899999998</v>
      </c>
      <c r="O16" s="2208">
        <f>'61_TT342'!M12</f>
        <v>3101331.9812260005</v>
      </c>
      <c r="P16" s="2208">
        <f>'61_TT342'!N12</f>
        <v>4807.951935</v>
      </c>
      <c r="V16" s="2208"/>
    </row>
    <row r="17" spans="1:22" s="1584" customFormat="1" ht="22.5" customHeight="1" x14ac:dyDescent="0.25">
      <c r="A17" s="2158" t="s">
        <v>514</v>
      </c>
      <c r="B17" s="1599" t="s">
        <v>15</v>
      </c>
      <c r="C17" s="2216">
        <v>50000</v>
      </c>
      <c r="D17" s="2217">
        <f t="shared" si="2"/>
        <v>50000</v>
      </c>
      <c r="E17" s="2061">
        <f>'61_TT342'!E16</f>
        <v>358752.516</v>
      </c>
      <c r="F17" s="2059">
        <f>'61_TT342'!H16+'61_TT342'!I16</f>
        <v>0</v>
      </c>
      <c r="G17" s="2218">
        <f t="shared" si="3"/>
        <v>717.50503200000003</v>
      </c>
      <c r="H17" s="2218">
        <f t="shared" si="0"/>
        <v>0</v>
      </c>
      <c r="J17" s="2207">
        <v>185.4</v>
      </c>
      <c r="K17" s="2199">
        <f t="shared" si="1"/>
        <v>1935.0189644012944</v>
      </c>
      <c r="L17" s="2222">
        <f>L16/J15</f>
        <v>-1221.1959073879812</v>
      </c>
      <c r="O17" s="2208">
        <f>O15-O16</f>
        <v>-498876.09622600023</v>
      </c>
      <c r="P17" s="2208">
        <f>P15-P16</f>
        <v>-4807.951935</v>
      </c>
      <c r="V17" s="2208"/>
    </row>
    <row r="18" spans="1:22" s="1584" customFormat="1" ht="22.5" customHeight="1" x14ac:dyDescent="0.25">
      <c r="A18" s="2158" t="s">
        <v>514</v>
      </c>
      <c r="B18" s="1599" t="s">
        <v>16</v>
      </c>
      <c r="C18" s="2216">
        <v>40000</v>
      </c>
      <c r="D18" s="2217">
        <f t="shared" si="2"/>
        <v>40000</v>
      </c>
      <c r="E18" s="2061">
        <f>'61_TT342'!E17</f>
        <v>0</v>
      </c>
      <c r="F18" s="2059">
        <f>'61_TT342'!H17+'61_TT342'!I17</f>
        <v>0</v>
      </c>
      <c r="G18" s="2218">
        <f t="shared" si="3"/>
        <v>0</v>
      </c>
      <c r="H18" s="2218">
        <f t="shared" si="0"/>
        <v>0</v>
      </c>
      <c r="J18" s="2207">
        <v>249.6</v>
      </c>
      <c r="K18" s="2199">
        <f t="shared" si="1"/>
        <v>0</v>
      </c>
      <c r="L18" s="2208"/>
      <c r="V18" s="2208"/>
    </row>
    <row r="19" spans="1:22" s="1584" customFormat="1" ht="27.75" customHeight="1" x14ac:dyDescent="0.25">
      <c r="A19" s="2158">
        <v>3</v>
      </c>
      <c r="B19" s="2209" t="s">
        <v>540</v>
      </c>
      <c r="C19" s="2221">
        <f>SUM(C20:C23)</f>
        <v>19206000</v>
      </c>
      <c r="D19" s="2210">
        <f>SUM(D20:D23)</f>
        <v>19206000</v>
      </c>
      <c r="E19" s="2113">
        <f>SUM(E20:E23)</f>
        <v>24405574.295000002</v>
      </c>
      <c r="F19" s="2211">
        <f>SUM(F20:F23)</f>
        <v>0</v>
      </c>
      <c r="G19" s="2212">
        <f t="shared" si="3"/>
        <v>127.07265591481828</v>
      </c>
      <c r="H19" s="2212">
        <f t="shared" si="0"/>
        <v>0</v>
      </c>
      <c r="J19" s="2198">
        <f>J20+J21+J22+J23</f>
        <v>31254.700000000004</v>
      </c>
      <c r="K19" s="2199">
        <f t="shared" si="1"/>
        <v>780.86093595523232</v>
      </c>
      <c r="L19" s="2208">
        <f>F19-J19</f>
        <v>-31254.700000000004</v>
      </c>
    </row>
    <row r="20" spans="1:22" s="1584" customFormat="1" ht="26.25" customHeight="1" x14ac:dyDescent="0.25">
      <c r="A20" s="2158" t="s">
        <v>514</v>
      </c>
      <c r="B20" s="1599" t="s">
        <v>533</v>
      </c>
      <c r="C20" s="2216">
        <v>16793000</v>
      </c>
      <c r="D20" s="2217">
        <f t="shared" ref="D20:D25" si="4">C20</f>
        <v>16793000</v>
      </c>
      <c r="E20" s="2061">
        <f>'61_TT342'!E19</f>
        <v>20381266.855999999</v>
      </c>
      <c r="F20" s="2059">
        <f>'61_TT342'!H19+'61_TT342'!I19</f>
        <v>0</v>
      </c>
      <c r="G20" s="2218">
        <f t="shared" si="3"/>
        <v>121.36763446674208</v>
      </c>
      <c r="H20" s="2218">
        <f t="shared" si="0"/>
        <v>0</v>
      </c>
      <c r="J20" s="2207">
        <v>25479</v>
      </c>
      <c r="K20" s="2199">
        <f t="shared" si="1"/>
        <v>799.92412794850657</v>
      </c>
      <c r="L20" s="2223">
        <f>L19/J19</f>
        <v>-1</v>
      </c>
    </row>
    <row r="21" spans="1:22" s="1584" customFormat="1" ht="27.75" customHeight="1" x14ac:dyDescent="0.25">
      <c r="A21" s="2158" t="s">
        <v>514</v>
      </c>
      <c r="B21" s="1599" t="s">
        <v>15</v>
      </c>
      <c r="C21" s="2216">
        <v>75000</v>
      </c>
      <c r="D21" s="2217">
        <f t="shared" si="4"/>
        <v>75000</v>
      </c>
      <c r="E21" s="2061">
        <f>'61_TT342'!E20</f>
        <v>2154974.6009999998</v>
      </c>
      <c r="F21" s="2059">
        <f>'61_TT342'!H20+'61_TT342'!I20</f>
        <v>0</v>
      </c>
      <c r="G21" s="2218">
        <f t="shared" si="3"/>
        <v>2873.2994679999997</v>
      </c>
      <c r="H21" s="2218">
        <f t="shared" si="0"/>
        <v>0</v>
      </c>
      <c r="J21" s="2207">
        <v>1485.2</v>
      </c>
      <c r="K21" s="2199">
        <f t="shared" si="1"/>
        <v>1450.9659311877188</v>
      </c>
      <c r="L21" s="2223"/>
    </row>
    <row r="22" spans="1:22" s="1584" customFormat="1" ht="25.5" customHeight="1" x14ac:dyDescent="0.25">
      <c r="A22" s="2158" t="s">
        <v>514</v>
      </c>
      <c r="B22" s="1599" t="s">
        <v>541</v>
      </c>
      <c r="C22" s="2216">
        <v>730000</v>
      </c>
      <c r="D22" s="2217">
        <f t="shared" si="4"/>
        <v>730000</v>
      </c>
      <c r="E22" s="2061">
        <f>'61_TT342'!E21</f>
        <v>135954.90700000001</v>
      </c>
      <c r="F22" s="2059">
        <f>'61_TT342'!H21+'61_TT342'!I21</f>
        <v>0</v>
      </c>
      <c r="G22" s="2218">
        <f t="shared" si="3"/>
        <v>18.623959863013699</v>
      </c>
      <c r="H22" s="2218"/>
      <c r="J22" s="2207">
        <v>105.9</v>
      </c>
      <c r="K22" s="2199">
        <f t="shared" si="1"/>
        <v>1283.804598677998</v>
      </c>
      <c r="L22" s="2223"/>
      <c r="M22" s="2206"/>
    </row>
    <row r="23" spans="1:22" s="1584" customFormat="1" ht="27" customHeight="1" x14ac:dyDescent="0.25">
      <c r="A23" s="2158" t="s">
        <v>514</v>
      </c>
      <c r="B23" s="1599" t="s">
        <v>16</v>
      </c>
      <c r="C23" s="2216">
        <v>1608000</v>
      </c>
      <c r="D23" s="2217">
        <f t="shared" si="4"/>
        <v>1608000</v>
      </c>
      <c r="E23" s="2061">
        <f>'61_TT342'!E22</f>
        <v>1733377.9310000001</v>
      </c>
      <c r="F23" s="2059">
        <f>'61_TT342'!H22+'61_TT342'!I22</f>
        <v>0</v>
      </c>
      <c r="G23" s="2218">
        <f t="shared" si="3"/>
        <v>107.79713501243782</v>
      </c>
      <c r="H23" s="2218">
        <f t="shared" si="0"/>
        <v>0</v>
      </c>
      <c r="J23" s="2207">
        <v>4184.6000000000004</v>
      </c>
      <c r="K23" s="2199">
        <f t="shared" si="1"/>
        <v>414.22786670171581</v>
      </c>
      <c r="L23" s="2208"/>
      <c r="O23" s="1584" t="s">
        <v>690</v>
      </c>
    </row>
    <row r="24" spans="1:22" s="2197" customFormat="1" ht="27" customHeight="1" x14ac:dyDescent="0.25">
      <c r="A24" s="2158">
        <v>4</v>
      </c>
      <c r="B24" s="2209" t="s">
        <v>8</v>
      </c>
      <c r="C24" s="2221">
        <v>7983000</v>
      </c>
      <c r="D24" s="2210">
        <f t="shared" si="4"/>
        <v>7983000</v>
      </c>
      <c r="E24" s="2113">
        <f>'61_TT342'!E23</f>
        <v>8968980.148</v>
      </c>
      <c r="F24" s="2211">
        <f>'61_TT342'!H23+'61_TT342'!I23</f>
        <v>0</v>
      </c>
      <c r="G24" s="2212">
        <f t="shared" si="3"/>
        <v>112.35099772015533</v>
      </c>
      <c r="H24" s="2212">
        <f t="shared" si="0"/>
        <v>0</v>
      </c>
      <c r="J24" s="2198">
        <v>13586.6</v>
      </c>
      <c r="K24" s="2199">
        <f t="shared" si="1"/>
        <v>660.13426081580383</v>
      </c>
      <c r="L24" s="2200"/>
      <c r="O24" s="2224" t="s">
        <v>691</v>
      </c>
      <c r="P24" s="1584"/>
    </row>
    <row r="25" spans="1:22" s="2197" customFormat="1" ht="28.5" customHeight="1" x14ac:dyDescent="0.25">
      <c r="A25" s="2158">
        <v>5</v>
      </c>
      <c r="B25" s="2209" t="s">
        <v>9</v>
      </c>
      <c r="C25" s="2221">
        <v>8700000</v>
      </c>
      <c r="D25" s="2210">
        <f t="shared" si="4"/>
        <v>8700000</v>
      </c>
      <c r="E25" s="2113">
        <f>'61_TT342'!E24</f>
        <v>13898170.473999999</v>
      </c>
      <c r="F25" s="2211">
        <f>'61_TT342'!H24+'61_TT342'!I24</f>
        <v>0</v>
      </c>
      <c r="G25" s="2212">
        <f t="shared" si="3"/>
        <v>159.74908590804597</v>
      </c>
      <c r="H25" s="2212">
        <f t="shared" si="0"/>
        <v>0</v>
      </c>
      <c r="J25" s="2198">
        <v>20886.8</v>
      </c>
      <c r="K25" s="2199">
        <f>E25/J25</f>
        <v>665.40448867227144</v>
      </c>
      <c r="L25" s="2200"/>
      <c r="O25" s="2224" t="s">
        <v>692</v>
      </c>
      <c r="P25" s="1584"/>
    </row>
    <row r="26" spans="1:22" s="2197" customFormat="1" ht="25.5" customHeight="1" x14ac:dyDescent="0.2">
      <c r="A26" s="2158">
        <v>6</v>
      </c>
      <c r="B26" s="2209" t="s">
        <v>428</v>
      </c>
      <c r="C26" s="2221">
        <v>3170000</v>
      </c>
      <c r="D26" s="2210">
        <f t="shared" ref="D26:D30" si="5">C26</f>
        <v>3170000</v>
      </c>
      <c r="E26" s="2113">
        <f>'61_TT342'!E25</f>
        <v>1982296.817</v>
      </c>
      <c r="F26" s="2211">
        <f>'61_TT342'!H25+'61_TT342'!I25</f>
        <v>0</v>
      </c>
      <c r="G26" s="2212">
        <f t="shared" si="3"/>
        <v>62.533022618296528</v>
      </c>
      <c r="H26" s="2212">
        <f t="shared" si="3"/>
        <v>0</v>
      </c>
      <c r="J26" s="2198">
        <v>7622</v>
      </c>
      <c r="K26" s="2199">
        <f>E26/J26</f>
        <v>260.0756779060614</v>
      </c>
      <c r="L26" s="2200"/>
    </row>
    <row r="27" spans="1:22" s="1584" customFormat="1" ht="26.25" customHeight="1" x14ac:dyDescent="0.25">
      <c r="A27" s="2158">
        <v>7</v>
      </c>
      <c r="B27" s="2209" t="s">
        <v>19</v>
      </c>
      <c r="C27" s="2221">
        <v>280000</v>
      </c>
      <c r="D27" s="2210">
        <f t="shared" si="5"/>
        <v>280000</v>
      </c>
      <c r="E27" s="2113">
        <f>'61_TT342'!E27</f>
        <v>395968.03499999997</v>
      </c>
      <c r="F27" s="2211">
        <f>'61_TT342'!H27+'61_TT342'!I27</f>
        <v>0</v>
      </c>
      <c r="G27" s="2212">
        <f t="shared" si="3"/>
        <v>141.41715535714286</v>
      </c>
      <c r="H27" s="2212">
        <f t="shared" si="3"/>
        <v>0</v>
      </c>
      <c r="J27" s="2207">
        <v>953.8</v>
      </c>
      <c r="K27" s="2199">
        <f>E27/J27</f>
        <v>415.14786642902078</v>
      </c>
      <c r="L27" s="2208">
        <f>F27-J27</f>
        <v>-953.8</v>
      </c>
    </row>
    <row r="28" spans="1:22" s="1584" customFormat="1" ht="30.75" customHeight="1" x14ac:dyDescent="0.25">
      <c r="A28" s="2158">
        <v>8</v>
      </c>
      <c r="B28" s="2209" t="s">
        <v>21</v>
      </c>
      <c r="C28" s="2221">
        <v>27400000</v>
      </c>
      <c r="D28" s="2210">
        <f t="shared" si="5"/>
        <v>27400000</v>
      </c>
      <c r="E28" s="2113">
        <f>'61_TT342'!E28</f>
        <v>14635212.096000001</v>
      </c>
      <c r="F28" s="2211">
        <f>'61_TT342'!H28+'61_TT342'!I28</f>
        <v>0</v>
      </c>
      <c r="G28" s="2212">
        <f t="shared" si="3"/>
        <v>53.413182832116789</v>
      </c>
      <c r="H28" s="2212">
        <f t="shared" si="3"/>
        <v>0</v>
      </c>
      <c r="J28" s="2207">
        <v>144635.79999999999</v>
      </c>
      <c r="K28" s="2199">
        <f>E28/J28</f>
        <v>101.18665016545006</v>
      </c>
      <c r="L28" s="2222">
        <f>L27/J27</f>
        <v>-1</v>
      </c>
      <c r="U28" s="2206">
        <f>D28-F28</f>
        <v>27400000</v>
      </c>
    </row>
    <row r="29" spans="1:22" s="1584" customFormat="1" ht="30.75" customHeight="1" x14ac:dyDescent="0.25">
      <c r="A29" s="2158">
        <v>9</v>
      </c>
      <c r="B29" s="2209" t="s">
        <v>604</v>
      </c>
      <c r="C29" s="2221"/>
      <c r="D29" s="2210">
        <f t="shared" si="5"/>
        <v>0</v>
      </c>
      <c r="E29" s="2113">
        <f>'61_TT342'!E29</f>
        <v>79200</v>
      </c>
      <c r="F29" s="2117"/>
      <c r="G29" s="2212"/>
      <c r="H29" s="2212"/>
      <c r="J29" s="2207"/>
      <c r="K29" s="2199"/>
      <c r="L29" s="2222"/>
      <c r="U29" s="2206"/>
    </row>
    <row r="30" spans="1:22" s="1584" customFormat="1" ht="28.5" customHeight="1" x14ac:dyDescent="0.25">
      <c r="A30" s="2158">
        <v>10</v>
      </c>
      <c r="B30" s="2209" t="s">
        <v>10</v>
      </c>
      <c r="C30" s="2221">
        <v>1844000</v>
      </c>
      <c r="D30" s="2210">
        <f t="shared" si="5"/>
        <v>1844000</v>
      </c>
      <c r="E30" s="2113">
        <f>'61_TT342'!E30</f>
        <v>4311792.3739999998</v>
      </c>
      <c r="F30" s="2113">
        <f>'61_TT342'!H30+'61_TT342'!I30</f>
        <v>2602455.8850000002</v>
      </c>
      <c r="G30" s="2212">
        <f t="shared" si="3"/>
        <v>233.82821984815618</v>
      </c>
      <c r="H30" s="2212">
        <f t="shared" si="3"/>
        <v>141.13101328633405</v>
      </c>
      <c r="J30" s="2207">
        <v>3712.2</v>
      </c>
      <c r="K30" s="2199">
        <f>E30/J30</f>
        <v>1161.5194154409785</v>
      </c>
      <c r="L30" s="2222"/>
      <c r="M30" s="2225">
        <f>E28-J28</f>
        <v>14490576.296</v>
      </c>
    </row>
    <row r="31" spans="1:22" s="1584" customFormat="1" ht="27" customHeight="1" x14ac:dyDescent="0.25">
      <c r="A31" s="2158" t="s">
        <v>18</v>
      </c>
      <c r="B31" s="2209" t="s">
        <v>581</v>
      </c>
      <c r="C31" s="2221"/>
      <c r="D31" s="2210"/>
      <c r="E31" s="2113"/>
      <c r="F31" s="2113"/>
      <c r="G31" s="2157"/>
      <c r="H31" s="2226"/>
      <c r="J31" s="2207"/>
      <c r="K31" s="2227"/>
      <c r="L31" s="2222"/>
      <c r="M31" s="2215">
        <f>M30/J28</f>
        <v>100.18665016545006</v>
      </c>
    </row>
    <row r="32" spans="1:22" s="1584" customFormat="1" ht="31.5" customHeight="1" x14ac:dyDescent="0.25">
      <c r="A32" s="2160" t="s">
        <v>22</v>
      </c>
      <c r="B32" s="2228" t="s">
        <v>99</v>
      </c>
      <c r="C32" s="2229"/>
      <c r="D32" s="2230"/>
      <c r="E32" s="2162">
        <f>'61_TT342'!E34</f>
        <v>500799.277</v>
      </c>
      <c r="F32" s="2162">
        <f>'61_TT342'!H34+'61_TT342'!I34</f>
        <v>500799.277</v>
      </c>
      <c r="G32" s="2231"/>
      <c r="H32" s="2232"/>
      <c r="J32" s="2207">
        <v>1070.7</v>
      </c>
      <c r="K32" s="2227"/>
      <c r="L32" s="2208"/>
    </row>
    <row r="33" spans="1:12" s="1584" customFormat="1" ht="31.5" customHeight="1" x14ac:dyDescent="0.25">
      <c r="A33" s="2054" t="s">
        <v>4</v>
      </c>
      <c r="B33" s="2194" t="s">
        <v>429</v>
      </c>
      <c r="C33" s="2195"/>
      <c r="D33" s="2195"/>
      <c r="E33" s="2056"/>
      <c r="F33" s="2056">
        <f>'61_TT342'!H43+'61_TT342'!I43</f>
        <v>474795.33199999999</v>
      </c>
      <c r="G33" s="2233"/>
      <c r="H33" s="2233"/>
      <c r="J33" s="2207"/>
      <c r="K33" s="2227"/>
      <c r="L33" s="2208"/>
    </row>
    <row r="34" spans="1:12" s="1584" customFormat="1" ht="40.5" customHeight="1" x14ac:dyDescent="0.25">
      <c r="A34" s="2054" t="s">
        <v>45</v>
      </c>
      <c r="B34" s="2194" t="s">
        <v>430</v>
      </c>
      <c r="C34" s="2195"/>
      <c r="D34" s="2195"/>
      <c r="E34" s="2056"/>
      <c r="F34" s="2056">
        <f>'61_TT342'!H42+'61_TT342'!I42</f>
        <v>5270579.1229999997</v>
      </c>
      <c r="G34" s="2233"/>
      <c r="H34" s="2233"/>
      <c r="J34" s="2207"/>
      <c r="K34" s="2227"/>
      <c r="L34" s="2208">
        <f>F33+F34</f>
        <v>5745374.4550000001</v>
      </c>
    </row>
    <row r="35" spans="1:12" x14ac:dyDescent="0.25">
      <c r="L35" s="373">
        <f>L34-L11</f>
        <v>-64094690.509000003</v>
      </c>
    </row>
  </sheetData>
  <mergeCells count="11">
    <mergeCell ref="O11:R12"/>
    <mergeCell ref="A1:C1"/>
    <mergeCell ref="A3:H3"/>
    <mergeCell ref="A6:A7"/>
    <mergeCell ref="B6:B7"/>
    <mergeCell ref="C6:D6"/>
    <mergeCell ref="E6:F6"/>
    <mergeCell ref="G6:H6"/>
    <mergeCell ref="A4:H4"/>
    <mergeCell ref="G1:H1"/>
    <mergeCell ref="A2:H2"/>
  </mergeCells>
  <printOptions horizontalCentered="1"/>
  <pageMargins left="0.47244094488188998" right="0.511811023622047" top="0.59" bottom="0.59" header="0.31496062992126" footer="0.31496062992126"/>
  <pageSetup paperSize="9" scale="77" firstPageNumber="14" orientation="portrait" useFirstPageNumber="1" r:id="rId1"/>
  <headerFooter>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Y105"/>
  <sheetViews>
    <sheetView zoomScaleNormal="100" zoomScaleSheetLayoutView="100" workbookViewId="0">
      <pane xSplit="2" ySplit="8" topLeftCell="C105" activePane="bottomRight" state="frozen"/>
      <selection activeCell="Z33" sqref="Z33"/>
      <selection pane="topRight" activeCell="Z33" sqref="Z33"/>
      <selection pane="bottomLeft" activeCell="Z33" sqref="Z33"/>
      <selection pane="bottomRight" activeCell="C88" sqref="C88:C89"/>
    </sheetView>
  </sheetViews>
  <sheetFormatPr defaultColWidth="8.85546875" defaultRowHeight="12.75" x14ac:dyDescent="0.2"/>
  <cols>
    <col min="1" max="1" width="6.7109375" style="119" customWidth="1"/>
    <col min="2" max="2" width="61.5703125" style="119" customWidth="1"/>
    <col min="3" max="3" width="14.7109375" style="2251" customWidth="1"/>
    <col min="4" max="4" width="15.140625" style="2251" customWidth="1"/>
    <col min="5" max="5" width="8.85546875" style="211" customWidth="1"/>
    <col min="6" max="6" width="15.28515625" style="119" hidden="1" customWidth="1"/>
    <col min="7" max="7" width="16.28515625" style="119" hidden="1" customWidth="1"/>
    <col min="8" max="8" width="17.140625" style="119" hidden="1" customWidth="1"/>
    <col min="9" max="9" width="10.140625" style="119" hidden="1" customWidth="1"/>
    <col min="10" max="10" width="14.7109375" style="119" hidden="1" customWidth="1"/>
    <col min="11" max="11" width="15.85546875" style="119" hidden="1" customWidth="1"/>
    <col min="12" max="12" width="14.42578125" style="119" hidden="1" customWidth="1"/>
    <col min="13" max="13" width="11.7109375" style="119" hidden="1" customWidth="1"/>
    <col min="14" max="14" width="15.5703125" style="119" hidden="1" customWidth="1"/>
    <col min="15" max="16" width="15.28515625" style="119" hidden="1" customWidth="1"/>
    <col min="17" max="17" width="8.85546875" style="119" hidden="1" customWidth="1"/>
    <col min="18" max="18" width="13.5703125" style="119" hidden="1" customWidth="1"/>
    <col min="19" max="19" width="8.85546875" style="119" hidden="1" customWidth="1"/>
    <col min="20" max="22" width="8.85546875" style="119" customWidth="1"/>
    <col min="23" max="23" width="16.42578125" style="119" hidden="1" customWidth="1"/>
    <col min="24" max="24" width="19.5703125" style="119" hidden="1" customWidth="1"/>
    <col min="25" max="25" width="8.85546875" style="119" hidden="1" customWidth="1"/>
    <col min="26" max="16384" width="8.85546875" style="119"/>
  </cols>
  <sheetData>
    <row r="1" spans="1:24" s="36" customFormat="1" ht="20.25" customHeight="1" x14ac:dyDescent="0.25">
      <c r="A1" s="244" t="str">
        <f>'48_NĐ31'!A1</f>
        <v xml:space="preserve">UBND PHƯỜNG BẮC KẠN </v>
      </c>
      <c r="C1" s="2242"/>
      <c r="D1" s="3141" t="s">
        <v>962</v>
      </c>
      <c r="E1" s="3141"/>
    </row>
    <row r="2" spans="1:24" s="36" customFormat="1" ht="20.25" hidden="1" customHeight="1" x14ac:dyDescent="0.25">
      <c r="A2" s="3141" t="s">
        <v>1524</v>
      </c>
      <c r="B2" s="3141"/>
      <c r="C2" s="3141"/>
      <c r="D2" s="3141"/>
      <c r="E2" s="3141"/>
    </row>
    <row r="3" spans="1:24" s="36" customFormat="1" ht="19.5" customHeight="1" x14ac:dyDescent="0.25">
      <c r="A3" s="3142" t="s">
        <v>1971</v>
      </c>
      <c r="B3" s="3142"/>
      <c r="C3" s="3142"/>
      <c r="D3" s="3142"/>
      <c r="E3" s="3142"/>
    </row>
    <row r="4" spans="1:24" s="36" customFormat="1" ht="21.75" customHeight="1" x14ac:dyDescent="0.25">
      <c r="A4" s="3138" t="str">
        <f>'48_NĐ31'!A4:G4</f>
        <v>(Kèm theo Quyết định số          /QĐ-UBND ngày          /4/2026 của UBND phường Bắc Kạn)</v>
      </c>
      <c r="B4" s="3138"/>
      <c r="C4" s="3138"/>
      <c r="D4" s="3138"/>
      <c r="E4" s="3138"/>
    </row>
    <row r="5" spans="1:24" ht="19.5" customHeight="1" x14ac:dyDescent="0.2">
      <c r="B5" s="457"/>
      <c r="C5" s="3143" t="s">
        <v>1187</v>
      </c>
      <c r="D5" s="3143"/>
      <c r="E5" s="3143"/>
    </row>
    <row r="6" spans="1:24" ht="27" customHeight="1" x14ac:dyDescent="0.2">
      <c r="A6" s="130" t="s">
        <v>0</v>
      </c>
      <c r="B6" s="130" t="s">
        <v>399</v>
      </c>
      <c r="C6" s="2243" t="s">
        <v>2</v>
      </c>
      <c r="D6" s="2243" t="s">
        <v>400</v>
      </c>
      <c r="E6" s="130" t="s">
        <v>414</v>
      </c>
    </row>
    <row r="7" spans="1:24" ht="21" customHeight="1" x14ac:dyDescent="0.2">
      <c r="A7" s="130" t="s">
        <v>3</v>
      </c>
      <c r="B7" s="130" t="s">
        <v>4</v>
      </c>
      <c r="C7" s="2322">
        <v>1</v>
      </c>
      <c r="D7" s="2322">
        <v>2</v>
      </c>
      <c r="E7" s="130" t="s">
        <v>431</v>
      </c>
      <c r="F7" s="190"/>
      <c r="K7" s="125">
        <f>C8-D8</f>
        <v>-358552.9240000248</v>
      </c>
    </row>
    <row r="8" spans="1:24" s="190" customFormat="1" ht="22.5" customHeight="1" x14ac:dyDescent="0.2">
      <c r="A8" s="130"/>
      <c r="B8" s="136" t="s">
        <v>63</v>
      </c>
      <c r="C8" s="2244">
        <f>SUM(C9,C26)</f>
        <v>374473982.20899999</v>
      </c>
      <c r="D8" s="2244">
        <f>SUM(D9,D26,D105)</f>
        <v>374832535.13300002</v>
      </c>
      <c r="E8" s="965">
        <f>D8/C8%</f>
        <v>100.09574842072738</v>
      </c>
      <c r="F8" s="190">
        <v>422156.9</v>
      </c>
      <c r="G8" s="191">
        <f>F8-C8</f>
        <v>-374051825.30900002</v>
      </c>
      <c r="H8" s="191"/>
      <c r="J8" s="359">
        <v>375158816.79400003</v>
      </c>
      <c r="K8" s="191">
        <f>D8-J8</f>
        <v>-326281.66100001335</v>
      </c>
      <c r="N8" s="224">
        <v>375158717.79400003</v>
      </c>
      <c r="O8" s="1760">
        <f>N8-D8</f>
        <v>326182.66100001335</v>
      </c>
      <c r="R8" s="254"/>
    </row>
    <row r="9" spans="1:24" s="190" customFormat="1" ht="22.5" customHeight="1" x14ac:dyDescent="0.2">
      <c r="A9" s="130" t="s">
        <v>3</v>
      </c>
      <c r="B9" s="136" t="s">
        <v>68</v>
      </c>
      <c r="C9" s="2244">
        <f>SUM(C10,C19,C22,C24,C23,C25)</f>
        <v>279072833.27700001</v>
      </c>
      <c r="D9" s="2244">
        <f>SUM(D10,D19,D22,D23,D24,D25)</f>
        <v>255714316.56400001</v>
      </c>
      <c r="E9" s="965">
        <f t="shared" ref="E9:E21" si="0">D9/C9%</f>
        <v>91.629956797043377</v>
      </c>
      <c r="F9" s="191">
        <f>'62_TT342'!E10</f>
        <v>364321922.25300002</v>
      </c>
      <c r="G9" s="191">
        <f>F9-D9</f>
        <v>108607605.68900001</v>
      </c>
      <c r="J9" s="191">
        <v>375158714.79400003</v>
      </c>
      <c r="K9" s="191">
        <f>D8-J9</f>
        <v>-326179.66100001335</v>
      </c>
      <c r="L9" s="190">
        <v>256253874.59200001</v>
      </c>
      <c r="M9" s="191">
        <f>C9-L9</f>
        <v>22818958.685000002</v>
      </c>
      <c r="N9" s="224"/>
      <c r="O9" s="1760"/>
      <c r="R9" s="191"/>
      <c r="W9" s="359">
        <f>C10+C22+W19</f>
        <v>374473982.20899999</v>
      </c>
      <c r="X9" s="359">
        <f>C9-'48_NĐ31'!D21</f>
        <v>22818958.685000002</v>
      </c>
    </row>
    <row r="10" spans="1:24" s="190" customFormat="1" ht="22.5" customHeight="1" x14ac:dyDescent="0.2">
      <c r="A10" s="213" t="s">
        <v>5</v>
      </c>
      <c r="B10" s="1353" t="s">
        <v>27</v>
      </c>
      <c r="C10" s="2245">
        <v>23560000</v>
      </c>
      <c r="D10" s="2245">
        <f>SUM(D13,D16,D18)</f>
        <v>22898469.927000001</v>
      </c>
      <c r="E10" s="2838">
        <f t="shared" si="0"/>
        <v>97.192147398132434</v>
      </c>
      <c r="F10" s="191">
        <f>'62_TT342'!E11</f>
        <v>23185254.901000001</v>
      </c>
      <c r="G10" s="191">
        <f>F10-D10</f>
        <v>286784.97399999946</v>
      </c>
      <c r="H10" s="191"/>
      <c r="I10" s="191"/>
      <c r="N10" s="224"/>
      <c r="O10" s="254"/>
    </row>
    <row r="11" spans="1:24" s="190" customFormat="1" ht="22.5" customHeight="1" x14ac:dyDescent="0.2">
      <c r="A11" s="216">
        <v>1</v>
      </c>
      <c r="B11" s="966" t="s">
        <v>432</v>
      </c>
      <c r="C11" s="1644"/>
      <c r="D11" s="1644">
        <f>D13+D16</f>
        <v>22898469.927000001</v>
      </c>
      <c r="E11" s="2839"/>
      <c r="F11" s="322"/>
      <c r="G11" s="191"/>
      <c r="H11" s="191"/>
      <c r="J11" s="191">
        <f>C9-D9</f>
        <v>23358516.713</v>
      </c>
      <c r="N11" s="224"/>
      <c r="O11" s="224"/>
    </row>
    <row r="12" spans="1:24" s="190" customFormat="1" ht="22.5" customHeight="1" x14ac:dyDescent="0.2">
      <c r="A12" s="1348"/>
      <c r="B12" s="1351" t="s">
        <v>1389</v>
      </c>
      <c r="C12" s="1644"/>
      <c r="D12" s="1644"/>
      <c r="E12" s="2839"/>
      <c r="F12" s="191"/>
      <c r="G12" s="191"/>
      <c r="H12" s="191"/>
      <c r="I12" s="191"/>
      <c r="N12" s="224"/>
      <c r="O12" s="254"/>
    </row>
    <row r="13" spans="1:24" s="190" customFormat="1" ht="22.5" customHeight="1" x14ac:dyDescent="0.2">
      <c r="A13" s="1348" t="s">
        <v>23</v>
      </c>
      <c r="B13" s="1352" t="s">
        <v>33</v>
      </c>
      <c r="C13" s="1826"/>
      <c r="D13" s="1826">
        <f>'55_NĐ31'!E9</f>
        <v>5933938.3969999999</v>
      </c>
      <c r="E13" s="2840"/>
      <c r="F13" s="191"/>
      <c r="G13" s="191"/>
      <c r="H13" s="191"/>
      <c r="I13" s="191"/>
      <c r="N13" s="224"/>
      <c r="O13" s="254"/>
    </row>
    <row r="14" spans="1:24" s="190" customFormat="1" ht="22.5" customHeight="1" x14ac:dyDescent="0.2">
      <c r="A14" s="1348" t="s">
        <v>23</v>
      </c>
      <c r="B14" s="1352" t="s">
        <v>1390</v>
      </c>
      <c r="C14" s="1644"/>
      <c r="D14" s="1644"/>
      <c r="E14" s="2840"/>
      <c r="F14" s="191"/>
      <c r="G14" s="191"/>
      <c r="H14" s="191"/>
      <c r="I14" s="191"/>
      <c r="N14" s="224"/>
      <c r="O14" s="254"/>
    </row>
    <row r="15" spans="1:24" s="190" customFormat="1" ht="22.5" customHeight="1" x14ac:dyDescent="0.2">
      <c r="A15" s="1348" t="s">
        <v>23</v>
      </c>
      <c r="B15" s="1352" t="s">
        <v>1007</v>
      </c>
      <c r="C15" s="1644"/>
      <c r="D15" s="1644"/>
      <c r="E15" s="2840"/>
      <c r="F15" s="191"/>
      <c r="G15" s="191"/>
      <c r="H15" s="191"/>
      <c r="I15" s="191"/>
      <c r="N15" s="224"/>
      <c r="O15" s="254"/>
    </row>
    <row r="16" spans="1:24" s="190" customFormat="1" ht="22.5" customHeight="1" x14ac:dyDescent="0.2">
      <c r="A16" s="1348" t="s">
        <v>23</v>
      </c>
      <c r="B16" s="1352" t="s">
        <v>82</v>
      </c>
      <c r="C16" s="1826"/>
      <c r="D16" s="1826">
        <f>'55_NĐ31'!M9+'55_NĐ31'!N9+'55_NĐ31'!R10-'48_NĐ31'!E31</f>
        <v>16964531.530000001</v>
      </c>
      <c r="E16" s="2840"/>
      <c r="F16" s="191"/>
      <c r="G16" s="191"/>
      <c r="H16" s="191"/>
      <c r="I16" s="191"/>
      <c r="N16" s="224"/>
      <c r="O16" s="254"/>
    </row>
    <row r="17" spans="1:25" s="190" customFormat="1" ht="49.5" customHeight="1" x14ac:dyDescent="0.2">
      <c r="A17" s="1348">
        <v>2</v>
      </c>
      <c r="B17" s="1347" t="s">
        <v>69</v>
      </c>
      <c r="C17" s="1644"/>
      <c r="D17" s="1644"/>
      <c r="E17" s="2839"/>
      <c r="F17" s="322"/>
      <c r="G17" s="191"/>
      <c r="H17" s="191"/>
      <c r="N17" s="224"/>
      <c r="O17" s="224"/>
    </row>
    <row r="18" spans="1:25" s="190" customFormat="1" ht="22.5" customHeight="1" x14ac:dyDescent="0.2">
      <c r="A18" s="1348">
        <v>3</v>
      </c>
      <c r="B18" s="1349" t="s">
        <v>25</v>
      </c>
      <c r="C18" s="1826"/>
      <c r="D18" s="1826"/>
      <c r="E18" s="2839"/>
      <c r="F18" s="322"/>
      <c r="G18" s="191"/>
      <c r="H18" s="191"/>
      <c r="N18" s="224"/>
      <c r="O18" s="224"/>
      <c r="W18" s="190">
        <v>51</v>
      </c>
      <c r="X18" s="190">
        <v>48</v>
      </c>
    </row>
    <row r="19" spans="1:25" s="190" customFormat="1" ht="22.5" customHeight="1" x14ac:dyDescent="0.2">
      <c r="A19" s="216" t="s">
        <v>11</v>
      </c>
      <c r="B19" s="966" t="s">
        <v>28</v>
      </c>
      <c r="C19" s="1644">
        <f>'48_NĐ31'!D23+'48_NĐ31'!O35</f>
        <v>247908833.27700001</v>
      </c>
      <c r="D19" s="1644">
        <f>304227425.645-D26+'48_NĐ31'!E31</f>
        <v>222055233.757</v>
      </c>
      <c r="E19" s="2839">
        <f t="shared" si="0"/>
        <v>89.571327823114473</v>
      </c>
      <c r="F19" s="359">
        <f>'62_TT342'!E60</f>
        <v>304227425.64499998</v>
      </c>
      <c r="G19" s="191">
        <f>F19-D19</f>
        <v>82172191.887999982</v>
      </c>
      <c r="H19" s="191"/>
      <c r="I19" s="191"/>
      <c r="L19" s="579">
        <f>D19+D26</f>
        <v>304514210.61900002</v>
      </c>
      <c r="N19" s="1433">
        <f>304236425.645-N26</f>
        <v>304236425.64499998</v>
      </c>
      <c r="O19" s="190">
        <v>221777448.64299998</v>
      </c>
      <c r="P19" s="359">
        <f>D19+D26-D47</f>
        <v>304227425.64500004</v>
      </c>
      <c r="R19" s="967"/>
      <c r="W19" s="359">
        <f>C19+C26</f>
        <v>343309982.20899999</v>
      </c>
      <c r="X19" s="359">
        <v>343309982.20899999</v>
      </c>
      <c r="Y19" s="359">
        <f>W19-X19</f>
        <v>0</v>
      </c>
    </row>
    <row r="20" spans="1:25" ht="22.5" customHeight="1" x14ac:dyDescent="0.2">
      <c r="A20" s="138"/>
      <c r="B20" s="968" t="s">
        <v>49</v>
      </c>
      <c r="C20" s="1826"/>
      <c r="D20" s="1826"/>
      <c r="E20" s="2839"/>
      <c r="F20" s="1431">
        <f>D19+D27-D47+D78</f>
        <v>304227425.64499998</v>
      </c>
      <c r="G20" s="125"/>
      <c r="N20" s="320">
        <v>221777448.64299998</v>
      </c>
      <c r="R20" s="222"/>
    </row>
    <row r="21" spans="1:25" ht="22.5" customHeight="1" x14ac:dyDescent="0.2">
      <c r="A21" s="138"/>
      <c r="B21" s="968" t="s">
        <v>33</v>
      </c>
      <c r="C21" s="1826">
        <v>88646329.958000004</v>
      </c>
      <c r="D21" s="1826">
        <v>109161583.55599999</v>
      </c>
      <c r="E21" s="2840">
        <f t="shared" si="0"/>
        <v>123.14281212512687</v>
      </c>
      <c r="F21" s="125"/>
      <c r="G21" s="253"/>
      <c r="I21" s="125"/>
      <c r="J21" s="125">
        <f>D21-C21</f>
        <v>20515253.59799999</v>
      </c>
      <c r="N21" s="320"/>
    </row>
    <row r="22" spans="1:25" s="190" customFormat="1" ht="22.5" customHeight="1" x14ac:dyDescent="0.2">
      <c r="A22" s="216" t="s">
        <v>17</v>
      </c>
      <c r="B22" s="966" t="s">
        <v>64</v>
      </c>
      <c r="C22" s="1644">
        <f>'48_NĐ31'!D25</f>
        <v>7604000</v>
      </c>
      <c r="D22" s="1644"/>
      <c r="E22" s="2840"/>
      <c r="G22" s="191"/>
      <c r="I22" s="191"/>
    </row>
    <row r="23" spans="1:25" s="190" customFormat="1" ht="22.5" customHeight="1" x14ac:dyDescent="0.2">
      <c r="A23" s="216" t="s">
        <v>18</v>
      </c>
      <c r="B23" s="966" t="s">
        <v>411</v>
      </c>
      <c r="C23" s="1455">
        <f>'48_NĐ31'!D26</f>
        <v>0</v>
      </c>
      <c r="D23" s="1644"/>
      <c r="E23" s="2840"/>
      <c r="F23" s="191"/>
      <c r="I23" s="191"/>
    </row>
    <row r="24" spans="1:25" s="190" customFormat="1" ht="22.5" customHeight="1" x14ac:dyDescent="0.2">
      <c r="A24" s="216" t="s">
        <v>22</v>
      </c>
      <c r="B24" s="966" t="s">
        <v>489</v>
      </c>
      <c r="C24" s="1644"/>
      <c r="D24" s="1644">
        <v>10510612.880000001</v>
      </c>
      <c r="E24" s="2840"/>
      <c r="I24" s="191"/>
      <c r="R24" s="191"/>
    </row>
    <row r="25" spans="1:25" s="190" customFormat="1" ht="22.5" customHeight="1" x14ac:dyDescent="0.2">
      <c r="A25" s="216" t="s">
        <v>50</v>
      </c>
      <c r="B25" s="1643" t="s">
        <v>1388</v>
      </c>
      <c r="C25" s="1644"/>
      <c r="D25" s="1644">
        <v>250000</v>
      </c>
      <c r="E25" s="2840"/>
      <c r="I25" s="191"/>
      <c r="R25" s="191"/>
    </row>
    <row r="26" spans="1:25" s="190" customFormat="1" ht="22.5" customHeight="1" x14ac:dyDescent="0.2">
      <c r="A26" s="216" t="s">
        <v>4</v>
      </c>
      <c r="B26" s="966" t="s">
        <v>433</v>
      </c>
      <c r="C26" s="1644">
        <f>SUM(C27,C78)</f>
        <v>95401148.931999996</v>
      </c>
      <c r="D26" s="1644">
        <f>SUM(D27,D78)</f>
        <v>82458976.862000003</v>
      </c>
      <c r="E26" s="2839">
        <f>D26/C26%</f>
        <v>86.433945277509281</v>
      </c>
      <c r="G26" s="191"/>
      <c r="N26" s="969"/>
    </row>
    <row r="27" spans="1:25" s="190" customFormat="1" ht="22.5" customHeight="1" x14ac:dyDescent="0.2">
      <c r="A27" s="216" t="s">
        <v>5</v>
      </c>
      <c r="B27" s="966" t="s">
        <v>536</v>
      </c>
      <c r="C27" s="1644">
        <f>SUM(C28,C46,C60)</f>
        <v>4983884.4159999993</v>
      </c>
      <c r="D27" s="1644">
        <f>SUM(D28,D46,D60)</f>
        <v>1461068.6940000001</v>
      </c>
      <c r="E27" s="2839">
        <f>D27/C27%</f>
        <v>29.315862328377086</v>
      </c>
      <c r="F27" s="359">
        <f>D28+D50+D60</f>
        <v>1174283.7200000002</v>
      </c>
      <c r="G27" s="359">
        <f>D27-F27</f>
        <v>286784.97399999993</v>
      </c>
      <c r="H27" s="970" t="s">
        <v>2155</v>
      </c>
      <c r="J27" s="191"/>
      <c r="L27" s="191"/>
      <c r="N27" s="1760">
        <v>1461068.6939999999</v>
      </c>
      <c r="O27" s="1768">
        <f>D27-N27</f>
        <v>0</v>
      </c>
      <c r="Q27" s="579"/>
      <c r="W27" s="190">
        <v>4983884.4159999993</v>
      </c>
      <c r="X27" s="359">
        <f>C27-W27</f>
        <v>0</v>
      </c>
    </row>
    <row r="28" spans="1:25" s="190" customFormat="1" ht="22.5" customHeight="1" x14ac:dyDescent="0.2">
      <c r="A28" s="216">
        <v>1</v>
      </c>
      <c r="B28" s="966" t="s">
        <v>532</v>
      </c>
      <c r="C28" s="1644">
        <f>C30</f>
        <v>2067414.9879999999</v>
      </c>
      <c r="D28" s="1644">
        <f>D30</f>
        <v>723504.32000000007</v>
      </c>
      <c r="E28" s="2839">
        <f>D28/C28%</f>
        <v>34.995601957007779</v>
      </c>
      <c r="F28" s="359">
        <f>C32+C41</f>
        <v>732554.9879999999</v>
      </c>
      <c r="G28" s="191">
        <f>D39+D42+D45</f>
        <v>419874.12</v>
      </c>
      <c r="H28" s="190" t="s">
        <v>2156</v>
      </c>
      <c r="J28" s="191">
        <f>C28+C50+C60</f>
        <v>4640199.1449999996</v>
      </c>
      <c r="N28" s="1760">
        <v>723504.32</v>
      </c>
      <c r="O28" s="1768">
        <f>D28-N28</f>
        <v>0</v>
      </c>
    </row>
    <row r="29" spans="1:25" s="190" customFormat="1" ht="22.5" customHeight="1" x14ac:dyDescent="0.2">
      <c r="A29" s="138" t="s">
        <v>7</v>
      </c>
      <c r="B29" s="141" t="s">
        <v>494</v>
      </c>
      <c r="C29" s="1644"/>
      <c r="D29" s="1644"/>
      <c r="E29" s="2839"/>
      <c r="G29" s="191"/>
      <c r="J29" s="191"/>
      <c r="N29" s="1760"/>
      <c r="O29" s="1768"/>
    </row>
    <row r="30" spans="1:25" s="190" customFormat="1" ht="22.5" customHeight="1" x14ac:dyDescent="0.2">
      <c r="A30" s="138" t="s">
        <v>38</v>
      </c>
      <c r="B30" s="141" t="s">
        <v>535</v>
      </c>
      <c r="C30" s="1644">
        <f>SUM(C31,C34,C37,C40,C43)</f>
        <v>2067414.9879999999</v>
      </c>
      <c r="D30" s="1644">
        <f>SUM(D31,D34,D37,D40,D43)</f>
        <v>723504.32000000007</v>
      </c>
      <c r="E30" s="2839"/>
      <c r="G30" s="191"/>
      <c r="J30" s="191"/>
      <c r="N30" s="1760"/>
      <c r="O30" s="1768"/>
    </row>
    <row r="31" spans="1:25" ht="22.5" customHeight="1" x14ac:dyDescent="0.2">
      <c r="A31" s="138" t="s">
        <v>7</v>
      </c>
      <c r="B31" s="1347" t="s">
        <v>1392</v>
      </c>
      <c r="C31" s="1826">
        <f>C32+C33</f>
        <v>730904.78799999994</v>
      </c>
      <c r="D31" s="1826">
        <f>D32+D33</f>
        <v>301980</v>
      </c>
      <c r="E31" s="2840"/>
      <c r="G31" s="125"/>
      <c r="J31" s="125">
        <f>C27-C47</f>
        <v>4640199.1449999996</v>
      </c>
      <c r="N31" s="320"/>
    </row>
    <row r="32" spans="1:25" ht="22.5" customHeight="1" x14ac:dyDescent="0.2">
      <c r="A32" s="138"/>
      <c r="B32" s="1347" t="s">
        <v>1393</v>
      </c>
      <c r="C32" s="1826">
        <f>693864.188+14000+23040.6</f>
        <v>730904.78799999994</v>
      </c>
      <c r="D32" s="1826">
        <f>266700+35280</f>
        <v>301980</v>
      </c>
      <c r="E32" s="2840"/>
      <c r="G32" s="125"/>
      <c r="J32" s="125">
        <f>C32-D32</f>
        <v>428924.78799999994</v>
      </c>
      <c r="N32" s="320"/>
      <c r="W32" s="2005">
        <f>D32+D41+D52</f>
        <v>358519.60000000003</v>
      </c>
    </row>
    <row r="33" spans="1:17" ht="22.5" customHeight="1" x14ac:dyDescent="0.2">
      <c r="A33" s="138"/>
      <c r="B33" s="1347" t="s">
        <v>1048</v>
      </c>
      <c r="C33" s="1826"/>
      <c r="D33" s="1826"/>
      <c r="E33" s="2840"/>
      <c r="G33" s="125"/>
      <c r="N33" s="320"/>
    </row>
    <row r="34" spans="1:17" ht="22.5" customHeight="1" x14ac:dyDescent="0.2">
      <c r="A34" s="138" t="s">
        <v>38</v>
      </c>
      <c r="B34" s="1347" t="s">
        <v>1432</v>
      </c>
      <c r="C34" s="1826">
        <f>C35+C36</f>
        <v>81860</v>
      </c>
      <c r="D34" s="1826">
        <f>D35+D36</f>
        <v>0</v>
      </c>
      <c r="E34" s="2840"/>
      <c r="G34" s="125"/>
      <c r="N34" s="320"/>
    </row>
    <row r="35" spans="1:17" ht="22.5" customHeight="1" x14ac:dyDescent="0.2">
      <c r="A35" s="138"/>
      <c r="B35" s="1347" t="s">
        <v>1393</v>
      </c>
      <c r="C35" s="1826"/>
      <c r="D35" s="1826"/>
      <c r="E35" s="2840"/>
      <c r="G35" s="125"/>
      <c r="N35" s="320"/>
    </row>
    <row r="36" spans="1:17" ht="22.5" customHeight="1" x14ac:dyDescent="0.2">
      <c r="A36" s="138"/>
      <c r="B36" s="1347" t="s">
        <v>1048</v>
      </c>
      <c r="C36" s="1826">
        <f>78860+3000</f>
        <v>81860</v>
      </c>
      <c r="D36" s="1826">
        <v>0</v>
      </c>
      <c r="E36" s="2840"/>
      <c r="G36" s="125"/>
      <c r="J36" s="125">
        <f>C36-D36</f>
        <v>81860</v>
      </c>
      <c r="N36" s="320"/>
    </row>
    <row r="37" spans="1:17" ht="22.5" customHeight="1" x14ac:dyDescent="0.2">
      <c r="A37" s="138" t="s">
        <v>39</v>
      </c>
      <c r="B37" s="1347" t="s">
        <v>1394</v>
      </c>
      <c r="C37" s="1826">
        <f>C38+C39</f>
        <v>908000</v>
      </c>
      <c r="D37" s="1826">
        <f>D38+D39</f>
        <v>145809.5</v>
      </c>
      <c r="E37" s="2840"/>
      <c r="G37" s="125"/>
      <c r="N37" s="320"/>
    </row>
    <row r="38" spans="1:17" ht="22.5" customHeight="1" x14ac:dyDescent="0.2">
      <c r="A38" s="138"/>
      <c r="B38" s="1347" t="s">
        <v>1393</v>
      </c>
      <c r="C38" s="1826"/>
      <c r="D38" s="1826"/>
      <c r="E38" s="2840"/>
      <c r="G38" s="125"/>
      <c r="N38" s="320"/>
    </row>
    <row r="39" spans="1:17" ht="22.5" customHeight="1" x14ac:dyDescent="0.2">
      <c r="A39" s="138"/>
      <c r="B39" s="1347" t="s">
        <v>1048</v>
      </c>
      <c r="C39" s="1826">
        <f>886000+22000</f>
        <v>908000</v>
      </c>
      <c r="D39" s="1826">
        <f>141427.76+4381.74</f>
        <v>145809.5</v>
      </c>
      <c r="E39" s="2840"/>
      <c r="F39" s="1828">
        <f>141427.6+4381.74</f>
        <v>145809.34</v>
      </c>
      <c r="G39" s="125">
        <v>145809500</v>
      </c>
      <c r="J39" s="125">
        <f>C39-D39</f>
        <v>762190.5</v>
      </c>
      <c r="N39" s="320"/>
    </row>
    <row r="40" spans="1:17" ht="22.5" customHeight="1" x14ac:dyDescent="0.2">
      <c r="A40" s="138" t="s">
        <v>40</v>
      </c>
      <c r="B40" s="1347" t="s">
        <v>1395</v>
      </c>
      <c r="C40" s="1826">
        <f>C41+C42</f>
        <v>68650.2</v>
      </c>
      <c r="D40" s="1826">
        <f>D41+D42</f>
        <v>67651.520000000004</v>
      </c>
      <c r="E40" s="2840"/>
      <c r="G40" s="125"/>
      <c r="N40" s="320"/>
    </row>
    <row r="41" spans="1:17" ht="22.5" customHeight="1" x14ac:dyDescent="0.2">
      <c r="A41" s="138"/>
      <c r="B41" s="1347" t="s">
        <v>1393</v>
      </c>
      <c r="C41" s="1826">
        <f>1650.2</f>
        <v>1650.2</v>
      </c>
      <c r="D41" s="1826">
        <v>1650.2</v>
      </c>
      <c r="E41" s="2840"/>
      <c r="G41" s="125"/>
      <c r="J41" s="125">
        <f>C41-D41</f>
        <v>0</v>
      </c>
      <c r="N41" s="320"/>
    </row>
    <row r="42" spans="1:17" ht="22.5" customHeight="1" x14ac:dyDescent="0.2">
      <c r="A42" s="138"/>
      <c r="B42" s="1347" t="s">
        <v>1048</v>
      </c>
      <c r="C42" s="1826">
        <f>64000+3000</f>
        <v>67000</v>
      </c>
      <c r="D42" s="1826">
        <f>14000+401.32+51600</f>
        <v>66001.320000000007</v>
      </c>
      <c r="E42" s="2840"/>
      <c r="G42" s="125"/>
      <c r="J42" s="125">
        <f>C42-D42</f>
        <v>998.67999999999302</v>
      </c>
      <c r="N42" s="320"/>
    </row>
    <row r="43" spans="1:17" ht="22.5" customHeight="1" x14ac:dyDescent="0.2">
      <c r="A43" s="138" t="s">
        <v>41</v>
      </c>
      <c r="B43" s="1347" t="s">
        <v>1396</v>
      </c>
      <c r="C43" s="1826">
        <f>C44+C45</f>
        <v>278000</v>
      </c>
      <c r="D43" s="1826">
        <f>D44+D45</f>
        <v>208063.3</v>
      </c>
      <c r="E43" s="2840"/>
      <c r="G43" s="125"/>
      <c r="N43" s="320"/>
    </row>
    <row r="44" spans="1:17" s="190" customFormat="1" ht="22.5" customHeight="1" x14ac:dyDescent="0.2">
      <c r="A44" s="138" t="s">
        <v>514</v>
      </c>
      <c r="B44" s="1347" t="s">
        <v>1393</v>
      </c>
      <c r="C44" s="1826"/>
      <c r="D44" s="1826">
        <f>'5.6'!F23</f>
        <v>0</v>
      </c>
      <c r="E44" s="2840"/>
      <c r="G44" s="971"/>
      <c r="H44" s="970"/>
      <c r="N44" s="224"/>
      <c r="Q44" s="191"/>
    </row>
    <row r="45" spans="1:17" ht="22.5" customHeight="1" x14ac:dyDescent="0.2">
      <c r="A45" s="138" t="s">
        <v>514</v>
      </c>
      <c r="B45" s="1347" t="s">
        <v>1048</v>
      </c>
      <c r="C45" s="1826">
        <f>271000+7000</f>
        <v>278000</v>
      </c>
      <c r="D45" s="1826">
        <f>177000+5000+26063.3</f>
        <v>208063.3</v>
      </c>
      <c r="E45" s="2840"/>
      <c r="F45" s="217">
        <f>203063.3+5000</f>
        <v>208063.3</v>
      </c>
      <c r="G45" s="972"/>
      <c r="H45" s="217"/>
      <c r="J45" s="125">
        <f>C45-D45</f>
        <v>69936.700000000012</v>
      </c>
    </row>
    <row r="46" spans="1:17" s="190" customFormat="1" ht="22.5" customHeight="1" x14ac:dyDescent="0.2">
      <c r="A46" s="216">
        <v>2</v>
      </c>
      <c r="B46" s="966" t="s">
        <v>531</v>
      </c>
      <c r="C46" s="1644">
        <f>C47+C50</f>
        <v>912572.4709999999</v>
      </c>
      <c r="D46" s="1644">
        <f>D47+D50</f>
        <v>471954.37399999995</v>
      </c>
      <c r="E46" s="2839">
        <f>D46/C46%</f>
        <v>51.716919915722507</v>
      </c>
      <c r="G46" s="971"/>
      <c r="N46" s="190">
        <v>471954.37400000001</v>
      </c>
      <c r="O46" s="191">
        <f>D46-N46</f>
        <v>0</v>
      </c>
    </row>
    <row r="47" spans="1:17" s="190" customFormat="1" ht="22.5" customHeight="1" x14ac:dyDescent="0.2">
      <c r="A47" s="138" t="s">
        <v>43</v>
      </c>
      <c r="B47" s="141" t="s">
        <v>494</v>
      </c>
      <c r="C47" s="1826">
        <f>C49+C48</f>
        <v>343685.27100000001</v>
      </c>
      <c r="D47" s="1826">
        <f>D49+D48</f>
        <v>286784.97399999999</v>
      </c>
      <c r="E47" s="2839">
        <f>D47/C47%</f>
        <v>83.444068803286015</v>
      </c>
      <c r="G47" s="971"/>
      <c r="N47" s="190">
        <v>286784.97399999999</v>
      </c>
      <c r="O47" s="191">
        <f>D47-N47</f>
        <v>0</v>
      </c>
    </row>
    <row r="48" spans="1:17" ht="22.5" customHeight="1" x14ac:dyDescent="0.2">
      <c r="A48" s="138" t="s">
        <v>1000</v>
      </c>
      <c r="B48" s="1347" t="s">
        <v>1393</v>
      </c>
      <c r="C48" s="1826">
        <f>268285.271+16000</f>
        <v>284285.27100000001</v>
      </c>
      <c r="D48" s="1826">
        <f>242166.983+4067.16</f>
        <v>246234.14300000001</v>
      </c>
      <c r="E48" s="2840"/>
      <c r="G48" s="972"/>
    </row>
    <row r="49" spans="1:10" s="190" customFormat="1" ht="22.5" customHeight="1" x14ac:dyDescent="0.2">
      <c r="A49" s="138" t="s">
        <v>1000</v>
      </c>
      <c r="B49" s="1347" t="s">
        <v>1048</v>
      </c>
      <c r="C49" s="1826">
        <f>57400+2000</f>
        <v>59400</v>
      </c>
      <c r="D49" s="1826">
        <v>40550.830999999998</v>
      </c>
      <c r="E49" s="2839"/>
      <c r="G49" s="971"/>
      <c r="J49" s="125">
        <f>C49-D49</f>
        <v>18849.169000000002</v>
      </c>
    </row>
    <row r="50" spans="1:10" s="190" customFormat="1" ht="22.5" customHeight="1" x14ac:dyDescent="0.2">
      <c r="A50" s="138" t="s">
        <v>44</v>
      </c>
      <c r="B50" s="141" t="s">
        <v>535</v>
      </c>
      <c r="C50" s="1826">
        <f>SUM(C51,C54,C57)</f>
        <v>568887.19999999995</v>
      </c>
      <c r="D50" s="1826">
        <f>SUM(D51,D54,D57)</f>
        <v>185169.4</v>
      </c>
      <c r="E50" s="2839">
        <f>D50/C50%</f>
        <v>32.549405224796764</v>
      </c>
      <c r="G50" s="971"/>
    </row>
    <row r="51" spans="1:10" s="190" customFormat="1" ht="107.25" customHeight="1" x14ac:dyDescent="0.2">
      <c r="A51" s="1348" t="s">
        <v>1420</v>
      </c>
      <c r="B51" s="1347" t="s">
        <v>1417</v>
      </c>
      <c r="C51" s="1826">
        <f>C52+C53</f>
        <v>410000</v>
      </c>
      <c r="D51" s="1826">
        <f>D52+D53</f>
        <v>171319.4</v>
      </c>
      <c r="E51" s="2840"/>
      <c r="G51" s="971"/>
    </row>
    <row r="52" spans="1:10" s="190" customFormat="1" ht="22.5" customHeight="1" x14ac:dyDescent="0.2">
      <c r="A52" s="1348" t="s">
        <v>23</v>
      </c>
      <c r="B52" s="1347" t="s">
        <v>1393</v>
      </c>
      <c r="C52" s="1826">
        <f>110000</f>
        <v>110000</v>
      </c>
      <c r="D52" s="1826">
        <v>54889.4</v>
      </c>
      <c r="E52" s="2840"/>
      <c r="G52" s="971"/>
      <c r="J52" s="125">
        <f>C52-D52</f>
        <v>55110.6</v>
      </c>
    </row>
    <row r="53" spans="1:10" s="190" customFormat="1" ht="22.5" customHeight="1" x14ac:dyDescent="0.2">
      <c r="A53" s="1348" t="s">
        <v>23</v>
      </c>
      <c r="B53" s="1347" t="s">
        <v>1048</v>
      </c>
      <c r="C53" s="1826">
        <f>286000+14000</f>
        <v>300000</v>
      </c>
      <c r="D53" s="1826">
        <f>100800+15630</f>
        <v>116430</v>
      </c>
      <c r="E53" s="2840"/>
      <c r="G53" s="971"/>
      <c r="J53" s="125">
        <f>C53-D53</f>
        <v>183570</v>
      </c>
    </row>
    <row r="54" spans="1:10" s="190" customFormat="1" ht="55.5" customHeight="1" x14ac:dyDescent="0.2">
      <c r="A54" s="1348" t="s">
        <v>1420</v>
      </c>
      <c r="B54" s="1350" t="s">
        <v>1418</v>
      </c>
      <c r="C54" s="1826">
        <f>C55+C56</f>
        <v>123887.2</v>
      </c>
      <c r="D54" s="1826">
        <f>D55+D56</f>
        <v>0</v>
      </c>
      <c r="E54" s="2840"/>
      <c r="G54" s="971"/>
    </row>
    <row r="55" spans="1:10" s="190" customFormat="1" ht="22.5" customHeight="1" x14ac:dyDescent="0.2">
      <c r="A55" s="1348" t="s">
        <v>23</v>
      </c>
      <c r="B55" s="1347" t="s">
        <v>1393</v>
      </c>
      <c r="C55" s="1826">
        <f>102887.2+21000</f>
        <v>123887.2</v>
      </c>
      <c r="D55" s="1826"/>
      <c r="E55" s="2840"/>
      <c r="G55" s="971"/>
      <c r="J55" s="125">
        <f>C55-D55</f>
        <v>123887.2</v>
      </c>
    </row>
    <row r="56" spans="1:10" s="190" customFormat="1" ht="22.5" customHeight="1" x14ac:dyDescent="0.2">
      <c r="A56" s="1348" t="s">
        <v>23</v>
      </c>
      <c r="B56" s="1347" t="s">
        <v>1048</v>
      </c>
      <c r="C56" s="1826"/>
      <c r="D56" s="1826"/>
      <c r="E56" s="2840"/>
      <c r="G56" s="971"/>
    </row>
    <row r="57" spans="1:10" s="190" customFormat="1" ht="47.25" customHeight="1" x14ac:dyDescent="0.2">
      <c r="A57" s="138" t="s">
        <v>1421</v>
      </c>
      <c r="B57" s="1350" t="s">
        <v>1419</v>
      </c>
      <c r="C57" s="1826">
        <f>C58+C59</f>
        <v>35000</v>
      </c>
      <c r="D57" s="1826">
        <f>D58+D59</f>
        <v>13850</v>
      </c>
      <c r="E57" s="2840"/>
      <c r="G57" s="971"/>
    </row>
    <row r="58" spans="1:10" s="190" customFormat="1" ht="22.5" customHeight="1" x14ac:dyDescent="0.2">
      <c r="A58" s="1348" t="s">
        <v>23</v>
      </c>
      <c r="B58" s="1347" t="s">
        <v>1393</v>
      </c>
      <c r="C58" s="1826"/>
      <c r="D58" s="1826"/>
      <c r="E58" s="2840"/>
      <c r="G58" s="971"/>
    </row>
    <row r="59" spans="1:10" s="190" customFormat="1" ht="22.5" customHeight="1" x14ac:dyDescent="0.2">
      <c r="A59" s="1348" t="s">
        <v>23</v>
      </c>
      <c r="B59" s="1347" t="s">
        <v>1048</v>
      </c>
      <c r="C59" s="1826">
        <f>33000+2000</f>
        <v>35000</v>
      </c>
      <c r="D59" s="1826">
        <v>13850</v>
      </c>
      <c r="E59" s="2840"/>
      <c r="G59" s="971"/>
      <c r="J59" s="125">
        <f>C59-D59</f>
        <v>21150</v>
      </c>
    </row>
    <row r="60" spans="1:10" s="190" customFormat="1" ht="22.5" customHeight="1" x14ac:dyDescent="0.2">
      <c r="A60" s="216">
        <v>3</v>
      </c>
      <c r="B60" s="966" t="s">
        <v>661</v>
      </c>
      <c r="C60" s="1644">
        <f>C62+C61</f>
        <v>2003896.9569999999</v>
      </c>
      <c r="D60" s="1644">
        <f>D62+D61</f>
        <v>265610</v>
      </c>
      <c r="E60" s="2839">
        <f>D60/C60%</f>
        <v>13.254673553556376</v>
      </c>
      <c r="G60" s="971"/>
    </row>
    <row r="61" spans="1:10" s="190" customFormat="1" ht="22.5" customHeight="1" x14ac:dyDescent="0.2">
      <c r="A61" s="138" t="s">
        <v>573</v>
      </c>
      <c r="B61" s="141" t="s">
        <v>494</v>
      </c>
      <c r="C61" s="1826"/>
      <c r="D61" s="1826"/>
      <c r="E61" s="2839"/>
      <c r="G61" s="971"/>
    </row>
    <row r="62" spans="1:10" s="190" customFormat="1" ht="22.5" customHeight="1" x14ac:dyDescent="0.2">
      <c r="A62" s="138" t="s">
        <v>574</v>
      </c>
      <c r="B62" s="141" t="s">
        <v>535</v>
      </c>
      <c r="C62" s="1826">
        <f>SUM(C63,C66,C69,C72,C75)</f>
        <v>2003896.9569999999</v>
      </c>
      <c r="D62" s="1826">
        <f>SUM(D63,D66,D69,D72,D75)</f>
        <v>265610</v>
      </c>
      <c r="E62" s="2840"/>
      <c r="G62" s="971"/>
    </row>
    <row r="63" spans="1:10" s="190" customFormat="1" ht="22.5" customHeight="1" x14ac:dyDescent="0.2">
      <c r="A63" s="138" t="s">
        <v>1426</v>
      </c>
      <c r="B63" s="1347" t="s">
        <v>1422</v>
      </c>
      <c r="C63" s="1826">
        <f>C64+C65</f>
        <v>1591407.7290000001</v>
      </c>
      <c r="D63" s="1826">
        <f>D64+D65</f>
        <v>14610</v>
      </c>
      <c r="E63" s="2840"/>
      <c r="G63" s="971"/>
    </row>
    <row r="64" spans="1:10" s="190" customFormat="1" ht="22.5" customHeight="1" x14ac:dyDescent="0.2">
      <c r="A64" s="138"/>
      <c r="B64" s="1347" t="s">
        <v>1393</v>
      </c>
      <c r="C64" s="1826">
        <f>118170.689+997.04</f>
        <v>119167.72899999999</v>
      </c>
      <c r="D64" s="1826"/>
      <c r="E64" s="2840"/>
      <c r="G64" s="971"/>
      <c r="J64" s="125">
        <f>C64-D64</f>
        <v>119167.72899999999</v>
      </c>
    </row>
    <row r="65" spans="1:10" s="190" customFormat="1" ht="22.5" customHeight="1" x14ac:dyDescent="0.2">
      <c r="A65" s="138"/>
      <c r="B65" s="1347" t="s">
        <v>1048</v>
      </c>
      <c r="C65" s="1826">
        <f>159000+1308240+5000</f>
        <v>1472240</v>
      </c>
      <c r="D65" s="1826">
        <f>13879.5+730.5</f>
        <v>14610</v>
      </c>
      <c r="E65" s="2840"/>
      <c r="G65" s="971"/>
      <c r="J65" s="125">
        <f>C65-D65</f>
        <v>1457630</v>
      </c>
    </row>
    <row r="66" spans="1:10" s="190" customFormat="1" ht="30" customHeight="1" x14ac:dyDescent="0.2">
      <c r="A66" s="138" t="s">
        <v>1427</v>
      </c>
      <c r="B66" s="1347" t="s">
        <v>1423</v>
      </c>
      <c r="C66" s="1826">
        <f>C67+C68</f>
        <v>51000</v>
      </c>
      <c r="D66" s="1826">
        <f>D67+D68</f>
        <v>51000</v>
      </c>
      <c r="E66" s="2840"/>
      <c r="G66" s="971"/>
    </row>
    <row r="67" spans="1:10" s="190" customFormat="1" ht="22.5" customHeight="1" x14ac:dyDescent="0.2">
      <c r="A67" s="138"/>
      <c r="B67" s="1347" t="s">
        <v>1393</v>
      </c>
      <c r="C67" s="1826"/>
      <c r="D67" s="1826"/>
      <c r="E67" s="2840"/>
      <c r="G67" s="971"/>
    </row>
    <row r="68" spans="1:10" s="190" customFormat="1" ht="22.5" customHeight="1" x14ac:dyDescent="0.2">
      <c r="A68" s="138"/>
      <c r="B68" s="1347" t="s">
        <v>1048</v>
      </c>
      <c r="C68" s="1826">
        <f>49000+2000</f>
        <v>51000</v>
      </c>
      <c r="D68" s="1826">
        <v>51000</v>
      </c>
      <c r="E68" s="2840"/>
      <c r="G68" s="971"/>
      <c r="J68" s="125">
        <f>C68-D68</f>
        <v>0</v>
      </c>
    </row>
    <row r="69" spans="1:10" s="190" customFormat="1" ht="27.75" customHeight="1" x14ac:dyDescent="0.2">
      <c r="A69" s="138" t="s">
        <v>1428</v>
      </c>
      <c r="B69" s="1347" t="s">
        <v>1424</v>
      </c>
      <c r="C69" s="1826">
        <f>C70+C71</f>
        <v>22000</v>
      </c>
      <c r="D69" s="2247">
        <f>D70+D71</f>
        <v>0</v>
      </c>
      <c r="E69" s="2840"/>
      <c r="G69" s="971"/>
    </row>
    <row r="70" spans="1:10" s="190" customFormat="1" ht="22.5" customHeight="1" x14ac:dyDescent="0.2">
      <c r="A70" s="138"/>
      <c r="B70" s="1347" t="s">
        <v>1393</v>
      </c>
      <c r="C70" s="1826"/>
      <c r="D70" s="2247"/>
      <c r="E70" s="2840"/>
      <c r="G70" s="971"/>
    </row>
    <row r="71" spans="1:10" s="190" customFormat="1" ht="22.5" customHeight="1" x14ac:dyDescent="0.2">
      <c r="A71" s="138"/>
      <c r="B71" s="1347" t="s">
        <v>1048</v>
      </c>
      <c r="C71" s="1826">
        <f>21000+1000</f>
        <v>22000</v>
      </c>
      <c r="D71" s="2247"/>
      <c r="E71" s="2840"/>
      <c r="G71" s="971"/>
      <c r="J71" s="125">
        <f>C71-D71</f>
        <v>22000</v>
      </c>
    </row>
    <row r="72" spans="1:10" ht="36.75" customHeight="1" x14ac:dyDescent="0.2">
      <c r="A72" s="138" t="s">
        <v>1429</v>
      </c>
      <c r="B72" s="121" t="s">
        <v>1431</v>
      </c>
      <c r="C72" s="1826">
        <f>C73+C74</f>
        <v>48000.7</v>
      </c>
      <c r="D72" s="2247">
        <f>D73+D74</f>
        <v>0</v>
      </c>
      <c r="E72" s="2840"/>
      <c r="G72" s="972"/>
    </row>
    <row r="73" spans="1:10" s="190" customFormat="1" ht="22.5" customHeight="1" x14ac:dyDescent="0.2">
      <c r="A73" s="138"/>
      <c r="B73" s="1347" t="s">
        <v>1393</v>
      </c>
      <c r="C73" s="1826">
        <f>700/1000</f>
        <v>0.7</v>
      </c>
      <c r="D73" s="1826"/>
      <c r="E73" s="2840"/>
      <c r="G73" s="971"/>
    </row>
    <row r="74" spans="1:10" s="190" customFormat="1" ht="22.5" customHeight="1" x14ac:dyDescent="0.2">
      <c r="A74" s="138"/>
      <c r="B74" s="1347" t="s">
        <v>1048</v>
      </c>
      <c r="C74" s="1826">
        <f>46000+2000</f>
        <v>48000</v>
      </c>
      <c r="D74" s="1826"/>
      <c r="E74" s="2840"/>
      <c r="G74" s="971"/>
      <c r="J74" s="125">
        <f>C74-D74</f>
        <v>48000</v>
      </c>
    </row>
    <row r="75" spans="1:10" s="190" customFormat="1" ht="37.5" customHeight="1" x14ac:dyDescent="0.2">
      <c r="A75" s="138" t="s">
        <v>1430</v>
      </c>
      <c r="B75" s="1347" t="s">
        <v>1425</v>
      </c>
      <c r="C75" s="1826">
        <f>C76+C77</f>
        <v>291488.52799999999</v>
      </c>
      <c r="D75" s="1826">
        <f>D76+D77</f>
        <v>200000</v>
      </c>
      <c r="E75" s="2840"/>
      <c r="G75" s="971"/>
    </row>
    <row r="76" spans="1:10" s="190" customFormat="1" ht="22.5" customHeight="1" x14ac:dyDescent="0.2">
      <c r="A76" s="138"/>
      <c r="B76" s="1347" t="s">
        <v>1393</v>
      </c>
      <c r="C76" s="1826">
        <f>12487.56+0.968</f>
        <v>12488.528</v>
      </c>
      <c r="D76" s="1826"/>
      <c r="E76" s="2840"/>
      <c r="G76" s="971"/>
      <c r="J76" s="125">
        <f>C76-D76</f>
        <v>12488.528</v>
      </c>
    </row>
    <row r="77" spans="1:10" s="190" customFormat="1" ht="22.5" customHeight="1" x14ac:dyDescent="0.2">
      <c r="A77" s="138"/>
      <c r="B77" s="1347" t="s">
        <v>1048</v>
      </c>
      <c r="C77" s="1826">
        <f>263000+16000</f>
        <v>279000</v>
      </c>
      <c r="D77" s="1826">
        <f>190000+10000</f>
        <v>200000</v>
      </c>
      <c r="E77" s="2840"/>
      <c r="G77" s="971"/>
      <c r="J77" s="125">
        <f>C77-D77</f>
        <v>79000</v>
      </c>
    </row>
    <row r="78" spans="1:10" s="190" customFormat="1" ht="22.5" customHeight="1" x14ac:dyDescent="0.2">
      <c r="A78" s="216" t="s">
        <v>11</v>
      </c>
      <c r="B78" s="966" t="s">
        <v>537</v>
      </c>
      <c r="C78" s="1644">
        <f>SUM(C81,C79)</f>
        <v>90417264.516000003</v>
      </c>
      <c r="D78" s="1644">
        <f>SUM(D81,D79)</f>
        <v>80997908.167999998</v>
      </c>
      <c r="E78" s="2839">
        <f>D78/C78%</f>
        <v>89.582347576625494</v>
      </c>
    </row>
    <row r="79" spans="1:10" s="190" customFormat="1" ht="22.5" customHeight="1" x14ac:dyDescent="0.2">
      <c r="A79" s="216">
        <v>1</v>
      </c>
      <c r="B79" s="966" t="s">
        <v>494</v>
      </c>
      <c r="C79" s="1455">
        <f>C80</f>
        <v>0</v>
      </c>
      <c r="D79" s="1455">
        <f>SUM(D80:D80)</f>
        <v>0</v>
      </c>
      <c r="E79" s="2839"/>
      <c r="G79" s="191"/>
      <c r="H79" s="191"/>
    </row>
    <row r="80" spans="1:10" s="407" customFormat="1" ht="22.5" customHeight="1" x14ac:dyDescent="0.2">
      <c r="A80" s="1354" t="s">
        <v>514</v>
      </c>
      <c r="B80" s="141" t="str">
        <f>'5.6'!B37</f>
        <v>Hỗ trợ công tác lập quy hoạch điểm dân cư và XD NTM</v>
      </c>
      <c r="C80" s="2248"/>
      <c r="D80" s="2248">
        <f>'5.6'!F37</f>
        <v>0</v>
      </c>
      <c r="E80" s="2841"/>
    </row>
    <row r="81" spans="1:16" s="190" customFormat="1" ht="22.5" customHeight="1" x14ac:dyDescent="0.2">
      <c r="A81" s="216">
        <v>2</v>
      </c>
      <c r="B81" s="966" t="s">
        <v>535</v>
      </c>
      <c r="C81" s="1644">
        <f>SUM(C82:C104)</f>
        <v>90417264.516000003</v>
      </c>
      <c r="D81" s="1644">
        <f>SUM(D82:D104)</f>
        <v>80997908.167999998</v>
      </c>
      <c r="E81" s="2839">
        <f>D81/C81%</f>
        <v>89.582347576625494</v>
      </c>
      <c r="F81" s="224"/>
      <c r="G81" s="220"/>
      <c r="J81" s="1431">
        <f>C81-C82-C83-C84</f>
        <v>89498264.516000003</v>
      </c>
      <c r="N81" s="969"/>
    </row>
    <row r="82" spans="1:16" s="190" customFormat="1" ht="22.5" customHeight="1" x14ac:dyDescent="0.2">
      <c r="A82" s="138" t="s">
        <v>43</v>
      </c>
      <c r="B82" s="121" t="s">
        <v>1397</v>
      </c>
      <c r="C82" s="1826">
        <v>452000</v>
      </c>
      <c r="D82" s="1826">
        <v>276189.29700000002</v>
      </c>
      <c r="E82" s="2840"/>
      <c r="F82" s="224"/>
      <c r="J82" s="125">
        <f>C82-D82</f>
        <v>175810.70299999998</v>
      </c>
      <c r="N82" s="969">
        <v>276189.29700000002</v>
      </c>
      <c r="O82" s="1778">
        <f>D82-N82</f>
        <v>0</v>
      </c>
    </row>
    <row r="83" spans="1:16" s="190" customFormat="1" ht="22.5" customHeight="1" x14ac:dyDescent="0.2">
      <c r="A83" s="138" t="s">
        <v>44</v>
      </c>
      <c r="B83" s="121" t="s">
        <v>2056</v>
      </c>
      <c r="C83" s="1826">
        <v>140000</v>
      </c>
      <c r="D83" s="1826">
        <v>139090</v>
      </c>
      <c r="E83" s="2840"/>
      <c r="F83" s="224"/>
      <c r="G83" s="191"/>
      <c r="J83" s="125">
        <f t="shared" ref="J83:J84" si="1">C83-D83</f>
        <v>910</v>
      </c>
      <c r="M83" s="973"/>
      <c r="N83" s="969"/>
    </row>
    <row r="84" spans="1:16" s="190" customFormat="1" ht="22.5" customHeight="1" x14ac:dyDescent="0.2">
      <c r="A84" s="138" t="s">
        <v>51</v>
      </c>
      <c r="B84" s="1355" t="s">
        <v>645</v>
      </c>
      <c r="C84" s="1826">
        <v>327000</v>
      </c>
      <c r="D84" s="1826">
        <v>327000</v>
      </c>
      <c r="E84" s="2840"/>
      <c r="F84" s="224"/>
      <c r="J84" s="125">
        <f t="shared" si="1"/>
        <v>0</v>
      </c>
      <c r="M84" s="973"/>
      <c r="N84" s="969"/>
    </row>
    <row r="85" spans="1:16" s="190" customFormat="1" ht="60.75" customHeight="1" x14ac:dyDescent="0.2">
      <c r="A85" s="138" t="s">
        <v>130</v>
      </c>
      <c r="B85" s="1356" t="s">
        <v>1413</v>
      </c>
      <c r="C85" s="1826">
        <v>14278361</v>
      </c>
      <c r="D85" s="1826">
        <f>C85</f>
        <v>14278361</v>
      </c>
      <c r="E85" s="2840"/>
      <c r="F85" s="224"/>
      <c r="M85" s="973"/>
      <c r="N85" s="969"/>
      <c r="P85" s="1105">
        <f>D85+D88+D89+D91+D92+D97+D98+D103-D91</f>
        <v>50236194.516000003</v>
      </c>
    </row>
    <row r="86" spans="1:16" s="190" customFormat="1" ht="60.75" customHeight="1" x14ac:dyDescent="0.2">
      <c r="A86" s="138" t="s">
        <v>131</v>
      </c>
      <c r="B86" s="1356" t="s">
        <v>1412</v>
      </c>
      <c r="C86" s="1826">
        <v>1500000</v>
      </c>
      <c r="D86" s="1826">
        <f t="shared" ref="D86:D98" si="2">C86</f>
        <v>1500000</v>
      </c>
      <c r="E86" s="2840"/>
      <c r="F86" s="224"/>
      <c r="M86" s="974"/>
      <c r="N86" s="969"/>
    </row>
    <row r="87" spans="1:16" s="976" customFormat="1" ht="60.75" customHeight="1" x14ac:dyDescent="0.2">
      <c r="A87" s="138" t="s">
        <v>132</v>
      </c>
      <c r="B87" s="1356" t="s">
        <v>1411</v>
      </c>
      <c r="C87" s="1826">
        <f>2269400+30000</f>
        <v>2299400</v>
      </c>
      <c r="D87" s="1826">
        <f>2269400+29300</f>
        <v>2298700</v>
      </c>
      <c r="E87" s="2842"/>
      <c r="F87" s="975"/>
      <c r="M87" s="190"/>
    </row>
    <row r="88" spans="1:16" s="190" customFormat="1" ht="60.75" customHeight="1" x14ac:dyDescent="0.2">
      <c r="A88" s="138" t="s">
        <v>133</v>
      </c>
      <c r="B88" s="1356" t="s">
        <v>1410</v>
      </c>
      <c r="C88" s="1826">
        <v>22095652.453000002</v>
      </c>
      <c r="D88" s="1826">
        <f t="shared" si="2"/>
        <v>22095652.453000002</v>
      </c>
      <c r="E88" s="2840"/>
      <c r="F88" s="224"/>
    </row>
    <row r="89" spans="1:16" s="190" customFormat="1" ht="60.75" customHeight="1" x14ac:dyDescent="0.2">
      <c r="A89" s="138" t="s">
        <v>134</v>
      </c>
      <c r="B89" s="1356" t="s">
        <v>1409</v>
      </c>
      <c r="C89" s="1826">
        <v>5793053.7019999996</v>
      </c>
      <c r="D89" s="1826">
        <f t="shared" si="2"/>
        <v>5793053.7019999996</v>
      </c>
      <c r="E89" s="2840"/>
      <c r="F89" s="224"/>
    </row>
    <row r="90" spans="1:16" s="190" customFormat="1" ht="60.75" customHeight="1" x14ac:dyDescent="0.2">
      <c r="A90" s="138" t="s">
        <v>909</v>
      </c>
      <c r="B90" s="1356" t="s">
        <v>1414</v>
      </c>
      <c r="C90" s="1826">
        <v>1500000</v>
      </c>
      <c r="D90" s="1826">
        <f>C90-32557.645</f>
        <v>1467442.355</v>
      </c>
      <c r="E90" s="2840"/>
    </row>
    <row r="91" spans="1:16" s="190" customFormat="1" ht="60.75" customHeight="1" x14ac:dyDescent="0.2">
      <c r="A91" s="138" t="s">
        <v>910</v>
      </c>
      <c r="B91" s="1356" t="s">
        <v>1408</v>
      </c>
      <c r="C91" s="1826">
        <v>6950470</v>
      </c>
      <c r="D91" s="1826">
        <f t="shared" si="2"/>
        <v>6950470</v>
      </c>
      <c r="E91" s="2840"/>
    </row>
    <row r="92" spans="1:16" s="190" customFormat="1" ht="60.75" customHeight="1" x14ac:dyDescent="0.2">
      <c r="A92" s="138" t="s">
        <v>911</v>
      </c>
      <c r="B92" s="1356" t="s">
        <v>1407</v>
      </c>
      <c r="C92" s="1826">
        <v>5502921.8609999996</v>
      </c>
      <c r="D92" s="1826">
        <f t="shared" si="2"/>
        <v>5502921.8609999996</v>
      </c>
      <c r="E92" s="2840"/>
    </row>
    <row r="93" spans="1:16" s="190" customFormat="1" ht="54.75" customHeight="1" x14ac:dyDescent="0.2">
      <c r="A93" s="138" t="s">
        <v>912</v>
      </c>
      <c r="B93" s="1356" t="s">
        <v>1416</v>
      </c>
      <c r="C93" s="1826">
        <v>4500000</v>
      </c>
      <c r="D93" s="1826">
        <f t="shared" si="2"/>
        <v>4500000</v>
      </c>
      <c r="E93" s="2840"/>
    </row>
    <row r="94" spans="1:16" s="190" customFormat="1" ht="54.75" customHeight="1" x14ac:dyDescent="0.2">
      <c r="A94" s="138" t="s">
        <v>913</v>
      </c>
      <c r="B94" s="1356" t="s">
        <v>1415</v>
      </c>
      <c r="C94" s="1826">
        <v>2510000</v>
      </c>
      <c r="D94" s="1826">
        <f t="shared" si="2"/>
        <v>2510000</v>
      </c>
      <c r="E94" s="2840"/>
    </row>
    <row r="95" spans="1:16" s="190" customFormat="1" ht="54.75" customHeight="1" x14ac:dyDescent="0.2">
      <c r="A95" s="138" t="s">
        <v>914</v>
      </c>
      <c r="B95" s="1356" t="s">
        <v>1406</v>
      </c>
      <c r="C95" s="1826">
        <v>301000</v>
      </c>
      <c r="D95" s="1826">
        <f>243075+19350</f>
        <v>262425</v>
      </c>
      <c r="E95" s="2840"/>
    </row>
    <row r="96" spans="1:16" s="190" customFormat="1" ht="54.75" customHeight="1" x14ac:dyDescent="0.2">
      <c r="A96" s="138" t="s">
        <v>915</v>
      </c>
      <c r="B96" s="1356" t="s">
        <v>1437</v>
      </c>
      <c r="C96" s="1826">
        <v>690000</v>
      </c>
      <c r="D96" s="1826">
        <f t="shared" si="2"/>
        <v>690000</v>
      </c>
      <c r="E96" s="2840"/>
    </row>
    <row r="97" spans="1:10" s="190" customFormat="1" ht="54.75" customHeight="1" x14ac:dyDescent="0.2">
      <c r="A97" s="138" t="s">
        <v>916</v>
      </c>
      <c r="B97" s="1356" t="s">
        <v>1405</v>
      </c>
      <c r="C97" s="1826">
        <v>1842607.5</v>
      </c>
      <c r="D97" s="1826">
        <f t="shared" si="2"/>
        <v>1842607.5</v>
      </c>
      <c r="E97" s="2840"/>
    </row>
    <row r="98" spans="1:10" s="190" customFormat="1" ht="54.75" customHeight="1" x14ac:dyDescent="0.2">
      <c r="A98" s="138" t="s">
        <v>917</v>
      </c>
      <c r="B98" s="1356" t="s">
        <v>1404</v>
      </c>
      <c r="C98" s="1826">
        <v>525798</v>
      </c>
      <c r="D98" s="1826">
        <f t="shared" si="2"/>
        <v>525798</v>
      </c>
      <c r="E98" s="2840"/>
    </row>
    <row r="99" spans="1:10" s="190" customFormat="1" ht="60.75" customHeight="1" x14ac:dyDescent="0.2">
      <c r="A99" s="138" t="s">
        <v>918</v>
      </c>
      <c r="B99" s="1356" t="s">
        <v>1403</v>
      </c>
      <c r="C99" s="1826">
        <v>367200</v>
      </c>
      <c r="D99" s="1826">
        <f>C99-5200</f>
        <v>362000</v>
      </c>
      <c r="E99" s="2840"/>
    </row>
    <row r="100" spans="1:10" s="190" customFormat="1" ht="51.75" customHeight="1" x14ac:dyDescent="0.2">
      <c r="A100" s="138" t="s">
        <v>919</v>
      </c>
      <c r="B100" s="1356" t="s">
        <v>1402</v>
      </c>
      <c r="C100" s="1826">
        <v>3718000</v>
      </c>
      <c r="D100" s="1826"/>
      <c r="E100" s="2840"/>
    </row>
    <row r="101" spans="1:10" s="1434" customFormat="1" ht="34.5" customHeight="1" x14ac:dyDescent="0.2">
      <c r="A101" s="138" t="s">
        <v>1433</v>
      </c>
      <c r="B101" s="1803" t="s">
        <v>1401</v>
      </c>
      <c r="C101" s="1826">
        <v>8104000</v>
      </c>
      <c r="D101" s="1826">
        <f>C101</f>
        <v>8104000</v>
      </c>
      <c r="E101" s="2843"/>
    </row>
    <row r="102" spans="1:10" s="1434" customFormat="1" ht="34.5" customHeight="1" x14ac:dyDescent="0.2">
      <c r="A102" s="138" t="s">
        <v>1434</v>
      </c>
      <c r="B102" s="1803" t="s">
        <v>1400</v>
      </c>
      <c r="C102" s="1826">
        <f>1852000-30000</f>
        <v>1822000</v>
      </c>
      <c r="D102" s="2249">
        <f>C102-(1280720-833117)</f>
        <v>1374397</v>
      </c>
      <c r="E102" s="2843"/>
      <c r="J102" s="1435">
        <f>C102-D102</f>
        <v>447603</v>
      </c>
    </row>
    <row r="103" spans="1:10" s="190" customFormat="1" ht="34.5" customHeight="1" x14ac:dyDescent="0.2">
      <c r="A103" s="138" t="s">
        <v>1435</v>
      </c>
      <c r="B103" s="1356" t="s">
        <v>2021</v>
      </c>
      <c r="C103" s="1826">
        <v>197800</v>
      </c>
      <c r="D103" s="1826">
        <f>C103</f>
        <v>197800</v>
      </c>
      <c r="E103" s="2840"/>
    </row>
    <row r="104" spans="1:10" s="190" customFormat="1" ht="34.5" customHeight="1" x14ac:dyDescent="0.2">
      <c r="A104" s="138" t="s">
        <v>1436</v>
      </c>
      <c r="B104" s="1357" t="s">
        <v>1399</v>
      </c>
      <c r="C104" s="2250">
        <v>5000000</v>
      </c>
      <c r="D104" s="2250"/>
      <c r="E104" s="2844"/>
    </row>
    <row r="105" spans="1:10" ht="26.25" customHeight="1" x14ac:dyDescent="0.2">
      <c r="A105" s="130" t="s">
        <v>45</v>
      </c>
      <c r="B105" s="131" t="s">
        <v>434</v>
      </c>
      <c r="C105" s="2244"/>
      <c r="D105" s="2244">
        <f>'60_TT342'!F16</f>
        <v>36659241.707000002</v>
      </c>
      <c r="E105" s="965"/>
    </row>
  </sheetData>
  <mergeCells count="5">
    <mergeCell ref="A3:E3"/>
    <mergeCell ref="A4:E4"/>
    <mergeCell ref="C5:E5"/>
    <mergeCell ref="D1:E1"/>
    <mergeCell ref="A2:E2"/>
  </mergeCells>
  <phoneticPr fontId="70" type="noConversion"/>
  <printOptions horizontalCentered="1"/>
  <pageMargins left="0.47244094488188998" right="0.31496062992126" top="0.47244094488188998" bottom="0.55118110236220497" header="0.31496062992126" footer="0.31496062992126"/>
  <pageSetup paperSize="9" scale="85" firstPageNumber="15" orientation="portrait" useFirstPageNumber="1" r:id="rId1"/>
  <headerFooter>
    <oddFooter>&amp;C&amp;P</oddFooter>
  </headerFooter>
  <colBreaks count="1" manualBreakCount="1">
    <brk id="5"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57</vt:i4>
      </vt:variant>
      <vt:variant>
        <vt:lpstr>Named Ranges</vt:lpstr>
      </vt:variant>
      <vt:variant>
        <vt:i4>44</vt:i4>
      </vt:variant>
    </vt:vector>
  </HeadingPairs>
  <TitlesOfParts>
    <vt:vector size="101" baseType="lpstr">
      <vt:lpstr>PL tong hop TT342</vt:lpstr>
      <vt:lpstr>PL</vt:lpstr>
      <vt:lpstr>Sheet1</vt:lpstr>
      <vt:lpstr>DM biểu TT342</vt:lpstr>
      <vt:lpstr>DM biểu NĐ31</vt:lpstr>
      <vt:lpstr>48_NĐ31</vt:lpstr>
      <vt:lpstr>5.2</vt:lpstr>
      <vt:lpstr>50_NĐ31</vt:lpstr>
      <vt:lpstr>51_NĐ31</vt:lpstr>
      <vt:lpstr>52_NĐ31</vt:lpstr>
      <vt:lpstr>5.6</vt:lpstr>
      <vt:lpstr>54_NĐ31</vt:lpstr>
      <vt:lpstr>55_NĐ31</vt:lpstr>
      <vt:lpstr>56_NĐ31</vt:lpstr>
      <vt:lpstr>5.11</vt:lpstr>
      <vt:lpstr>5.12</vt:lpstr>
      <vt:lpstr>5.13</vt:lpstr>
      <vt:lpstr>57_NĐ31</vt:lpstr>
      <vt:lpstr>61_NĐ31</vt:lpstr>
      <vt:lpstr>5.14.1</vt:lpstr>
      <vt:lpstr>5.14.2</vt:lpstr>
      <vt:lpstr>61.2</vt:lpstr>
      <vt:lpstr>62_NĐ31</vt:lpstr>
      <vt:lpstr>62.1_NĐ31</vt:lpstr>
      <vt:lpstr>62.2_NĐ31</vt:lpstr>
      <vt:lpstr>62.1</vt:lpstr>
      <vt:lpstr>63_NĐ31</vt:lpstr>
      <vt:lpstr>64_NĐ31</vt:lpstr>
      <vt:lpstr>60_TT342</vt:lpstr>
      <vt:lpstr>61_TT342</vt:lpstr>
      <vt:lpstr>62_TT342</vt:lpstr>
      <vt:lpstr>5.22 (1)</vt:lpstr>
      <vt:lpstr>63_TT342</vt:lpstr>
      <vt:lpstr>64_TT342</vt:lpstr>
      <vt:lpstr>65_TT342</vt:lpstr>
      <vt:lpstr>65A_TT342</vt:lpstr>
      <vt:lpstr>65B_TT342</vt:lpstr>
      <vt:lpstr>66_TT342</vt:lpstr>
      <vt:lpstr>67_TT342</vt:lpstr>
      <vt:lpstr>68_T342</vt:lpstr>
      <vt:lpstr>69_TT342</vt:lpstr>
      <vt:lpstr>Phụ biểu số 01</vt:lpstr>
      <vt:lpstr>Phụ biểu số 02</vt:lpstr>
      <vt:lpstr>BC Thu 2025</vt:lpstr>
      <vt:lpstr>MS 03</vt:lpstr>
      <vt:lpstr>MS 02</vt:lpstr>
      <vt:lpstr>MS 04</vt:lpstr>
      <vt:lpstr>Phụ biểu số 03</vt:lpstr>
      <vt:lpstr>MS 05 (2)</vt:lpstr>
      <vt:lpstr>NĐ 238_MS05(2)</vt:lpstr>
      <vt:lpstr>MS 06</vt:lpstr>
      <vt:lpstr>MS 07</vt:lpstr>
      <vt:lpstr>CÁC CĐGD</vt:lpstr>
      <vt:lpstr>5.31</vt:lpstr>
      <vt:lpstr>5.32</vt:lpstr>
      <vt:lpstr>BSMT</vt:lpstr>
      <vt:lpstr>Vay-cho vay</vt:lpstr>
      <vt:lpstr>'48_NĐ31'!Print_Area</vt:lpstr>
      <vt:lpstr>'5.14.1'!Print_Area</vt:lpstr>
      <vt:lpstr>'52_NĐ31'!Print_Area</vt:lpstr>
      <vt:lpstr>'55_NĐ31'!Print_Area</vt:lpstr>
      <vt:lpstr>'57_NĐ31'!Print_Area</vt:lpstr>
      <vt:lpstr>'60_TT342'!Print_Area</vt:lpstr>
      <vt:lpstr>'61_NĐ31'!Print_Area</vt:lpstr>
      <vt:lpstr>'62.1_NĐ31'!Print_Area</vt:lpstr>
      <vt:lpstr>'62.2_NĐ31'!Print_Area</vt:lpstr>
      <vt:lpstr>'62_NĐ31'!Print_Area</vt:lpstr>
      <vt:lpstr>'62_TT342'!Print_Area</vt:lpstr>
      <vt:lpstr>'63_TT342'!Print_Area</vt:lpstr>
      <vt:lpstr>'65_TT342'!Print_Area</vt:lpstr>
      <vt:lpstr>'65B_TT342'!Print_Area</vt:lpstr>
      <vt:lpstr>'66_TT342'!Print_Area</vt:lpstr>
      <vt:lpstr>'67_TT342'!Print_Area</vt:lpstr>
      <vt:lpstr>'68_T342'!Print_Area</vt:lpstr>
      <vt:lpstr>'MS 02'!Print_Area</vt:lpstr>
      <vt:lpstr>'MS 05 (2)'!Print_Area</vt:lpstr>
      <vt:lpstr>'NĐ 238_MS05(2)'!Print_Area</vt:lpstr>
      <vt:lpstr>'Phụ biểu số 02'!Print_Area</vt:lpstr>
      <vt:lpstr>'Phụ biểu số 03'!Print_Area</vt:lpstr>
      <vt:lpstr>'5.31'!Print_Titles</vt:lpstr>
      <vt:lpstr>'5.32'!Print_Titles</vt:lpstr>
      <vt:lpstr>'5.6'!Print_Titles</vt:lpstr>
      <vt:lpstr>'51_NĐ31'!Print_Titles</vt:lpstr>
      <vt:lpstr>'54_NĐ31'!Print_Titles</vt:lpstr>
      <vt:lpstr>'55_NĐ31'!Print_Titles</vt:lpstr>
      <vt:lpstr>'56_NĐ31'!Print_Titles</vt:lpstr>
      <vt:lpstr>'57_NĐ31'!Print_Titles</vt:lpstr>
      <vt:lpstr>'61_TT342'!Print_Titles</vt:lpstr>
      <vt:lpstr>'62_NĐ31'!Print_Titles</vt:lpstr>
      <vt:lpstr>'62_TT342'!Print_Titles</vt:lpstr>
      <vt:lpstr>'63_NĐ31'!Print_Titles</vt:lpstr>
      <vt:lpstr>'63_TT342'!Print_Titles</vt:lpstr>
      <vt:lpstr>'64_TT342'!Print_Titles</vt:lpstr>
      <vt:lpstr>'65_TT342'!Print_Titles</vt:lpstr>
      <vt:lpstr>'65B_TT342'!Print_Titles</vt:lpstr>
      <vt:lpstr>'66_TT342'!Print_Titles</vt:lpstr>
      <vt:lpstr>'MS 02'!Print_Titles</vt:lpstr>
      <vt:lpstr>'Phụ biểu số 01'!Print_Titles</vt:lpstr>
      <vt:lpstr>'Phụ biểu số 02'!Print_Titles</vt:lpstr>
      <vt:lpstr>'Phụ biểu số 03'!Print_Titles</vt:lpstr>
      <vt:lpstr>'PL tong hop TT342'!Print_Titles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PC</cp:lastModifiedBy>
  <cp:lastPrinted>2026-04-14T15:40:16Z</cp:lastPrinted>
  <dcterms:created xsi:type="dcterms:W3CDTF">2017-05-03T08:35:13Z</dcterms:created>
  <dcterms:modified xsi:type="dcterms:W3CDTF">2026-04-20T02:15:20Z</dcterms:modified>
</cp:coreProperties>
</file>